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7CB388DB-A738-4C4F-B943-A84436B77155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N330" i="18"/>
  <c r="M330" i="18"/>
  <c r="P330" i="18" s="1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M310" i="18" s="1"/>
  <c r="O313" i="18"/>
  <c r="N311" i="18"/>
  <c r="M311" i="18"/>
  <c r="P311" i="18" s="1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L296" i="18"/>
  <c r="L295" i="18"/>
  <c r="N294" i="18"/>
  <c r="M294" i="18"/>
  <c r="O293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L277" i="18"/>
  <c r="L276" i="18"/>
  <c r="N275" i="18"/>
  <c r="M275" i="18"/>
  <c r="O274" i="18"/>
  <c r="O272" i="18"/>
  <c r="N272" i="18"/>
  <c r="M272" i="18"/>
  <c r="P272" i="18" s="1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M250" i="18" s="1"/>
  <c r="O253" i="18"/>
  <c r="N251" i="18"/>
  <c r="M251" i="18"/>
  <c r="P251" i="18" s="1"/>
  <c r="L251" i="18"/>
  <c r="O251" i="18" s="1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K149" i="18" s="1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P119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L100" i="18"/>
  <c r="L99" i="18"/>
  <c r="N98" i="18"/>
  <c r="M98" i="18"/>
  <c r="O97" i="18"/>
  <c r="P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N67" i="18"/>
  <c r="M67" i="18"/>
  <c r="P67" i="18" s="1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N54" i="18"/>
  <c r="M54" i="18"/>
  <c r="P54" i="18" s="1"/>
  <c r="L54" i="18"/>
  <c r="N49" i="18"/>
  <c r="L49" i="18"/>
  <c r="L47" i="18"/>
  <c r="L46" i="18"/>
  <c r="N45" i="18"/>
  <c r="M45" i="18"/>
  <c r="O42" i="18"/>
  <c r="N42" i="18"/>
  <c r="M42" i="18"/>
  <c r="P42" i="18" s="1"/>
  <c r="L42" i="18"/>
  <c r="P36" i="18"/>
  <c r="O36" i="18"/>
  <c r="P35" i="18"/>
  <c r="O35" i="18"/>
  <c r="P34" i="18"/>
  <c r="M34" i="18"/>
  <c r="P33" i="18"/>
  <c r="M33" i="18"/>
  <c r="M32" i="18"/>
  <c r="P32" i="18" s="1"/>
  <c r="M31" i="18"/>
  <c r="P30" i="18"/>
  <c r="M30" i="18"/>
  <c r="O25" i="18"/>
  <c r="N25" i="18"/>
  <c r="N15" i="18" s="1"/>
  <c r="M25" i="18"/>
  <c r="L25" i="18"/>
  <c r="N24" i="18"/>
  <c r="M24" i="18"/>
  <c r="P23" i="18"/>
  <c r="N23" i="18"/>
  <c r="M23" i="18"/>
  <c r="P21" i="18"/>
  <c r="O21" i="18"/>
  <c r="N21" i="18"/>
  <c r="M21" i="18"/>
  <c r="L21" i="18"/>
  <c r="O19" i="18"/>
  <c r="L19" i="18"/>
  <c r="L15" i="18"/>
  <c r="O15" i="18" s="1"/>
  <c r="M13" i="18"/>
  <c r="P13" i="18" s="1"/>
  <c r="M11" i="18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K649" i="17" s="1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O347" i="17" s="1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K341" i="17" s="1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P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O313" i="17"/>
  <c r="O311" i="17"/>
  <c r="N311" i="17"/>
  <c r="M311" i="17"/>
  <c r="P311" i="17" s="1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O251" i="17"/>
  <c r="N251" i="17"/>
  <c r="M251" i="17"/>
  <c r="P251" i="17" s="1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L72" i="17"/>
  <c r="L71" i="17"/>
  <c r="N70" i="17"/>
  <c r="M70" i="17"/>
  <c r="O69" i="17"/>
  <c r="P67" i="17"/>
  <c r="N67" i="17"/>
  <c r="M67" i="17"/>
  <c r="L67" i="17"/>
  <c r="O67" i="17" s="1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P54" i="17"/>
  <c r="N54" i="17"/>
  <c r="M54" i="17"/>
  <c r="L54" i="17"/>
  <c r="N49" i="17"/>
  <c r="L49" i="17"/>
  <c r="M49" i="17" s="1"/>
  <c r="L47" i="17"/>
  <c r="L46" i="17"/>
  <c r="N45" i="17"/>
  <c r="M45" i="17"/>
  <c r="O42" i="17"/>
  <c r="N42" i="17"/>
  <c r="M42" i="17"/>
  <c r="P42" i="17" s="1"/>
  <c r="L42" i="17"/>
  <c r="P36" i="17"/>
  <c r="O36" i="17"/>
  <c r="P35" i="17"/>
  <c r="O35" i="17"/>
  <c r="P34" i="17"/>
  <c r="M34" i="17"/>
  <c r="M33" i="17"/>
  <c r="P33" i="17" s="1"/>
  <c r="P32" i="17"/>
  <c r="M32" i="17"/>
  <c r="M30" i="17" s="1"/>
  <c r="P30" i="17" s="1"/>
  <c r="P31" i="17"/>
  <c r="M31" i="17"/>
  <c r="M29" i="17" s="1"/>
  <c r="N25" i="17"/>
  <c r="N15" i="17" s="1"/>
  <c r="M25" i="17"/>
  <c r="P25" i="17" s="1"/>
  <c r="L25" i="17"/>
  <c r="O25" i="17" s="1"/>
  <c r="N24" i="17"/>
  <c r="M24" i="17"/>
  <c r="P24" i="17" s="1"/>
  <c r="P23" i="17"/>
  <c r="N23" i="17"/>
  <c r="M23" i="17"/>
  <c r="N21" i="17"/>
  <c r="M21" i="17"/>
  <c r="L21" i="17"/>
  <c r="N19" i="17"/>
  <c r="M15" i="17"/>
  <c r="P15" i="17" s="1"/>
  <c r="M13" i="17"/>
  <c r="P13" i="17" s="1"/>
  <c r="M11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N352" i="16"/>
  <c r="L352" i="16"/>
  <c r="N351" i="16"/>
  <c r="L351" i="16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M331" i="16" s="1"/>
  <c r="M329" i="16" s="1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P311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M271" i="16" s="1"/>
  <c r="O274" i="16"/>
  <c r="P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M252" i="16" s="1"/>
  <c r="P252" i="16" s="1"/>
  <c r="O253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O121" i="16"/>
  <c r="P119" i="16"/>
  <c r="N119" i="16"/>
  <c r="M119" i="16"/>
  <c r="L119" i="16"/>
  <c r="O119" i="16" s="1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L100" i="16"/>
  <c r="L99" i="16"/>
  <c r="N98" i="16"/>
  <c r="M98" i="16"/>
  <c r="P98" i="16" s="1"/>
  <c r="O97" i="16"/>
  <c r="N95" i="16"/>
  <c r="M95" i="16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O69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M55" i="16" s="1"/>
  <c r="P54" i="16"/>
  <c r="O54" i="16"/>
  <c r="N54" i="16"/>
  <c r="M54" i="16"/>
  <c r="L54" i="16"/>
  <c r="N49" i="16"/>
  <c r="L49" i="16"/>
  <c r="L47" i="16"/>
  <c r="L46" i="16"/>
  <c r="N45" i="16"/>
  <c r="M45" i="16"/>
  <c r="P42" i="16"/>
  <c r="N42" i="16"/>
  <c r="M42" i="16"/>
  <c r="L42" i="16"/>
  <c r="P36" i="16"/>
  <c r="O36" i="16"/>
  <c r="P35" i="16"/>
  <c r="O35" i="16"/>
  <c r="M34" i="16"/>
  <c r="P34" i="16" s="1"/>
  <c r="M33" i="16"/>
  <c r="P33" i="16" s="1"/>
  <c r="P32" i="16"/>
  <c r="M32" i="16"/>
  <c r="P31" i="16"/>
  <c r="M31" i="16"/>
  <c r="M30" i="16"/>
  <c r="P30" i="16" s="1"/>
  <c r="M29" i="16"/>
  <c r="O25" i="16"/>
  <c r="N25" i="16"/>
  <c r="M25" i="16"/>
  <c r="P25" i="16" s="1"/>
  <c r="L25" i="16"/>
  <c r="L15" i="16" s="1"/>
  <c r="O15" i="16" s="1"/>
  <c r="P24" i="16"/>
  <c r="N24" i="16"/>
  <c r="M24" i="16"/>
  <c r="P23" i="16"/>
  <c r="N23" i="16"/>
  <c r="M23" i="16"/>
  <c r="O21" i="16"/>
  <c r="N21" i="16"/>
  <c r="M21" i="16"/>
  <c r="M19" i="16" s="1"/>
  <c r="L21" i="16"/>
  <c r="P15" i="16"/>
  <c r="N15" i="16"/>
  <c r="M15" i="16"/>
  <c r="M14" i="16"/>
  <c r="P14" i="16" s="1"/>
  <c r="M13" i="16"/>
  <c r="P13" i="16" s="1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M271" i="15" s="1"/>
  <c r="O274" i="15"/>
  <c r="P272" i="15"/>
  <c r="O272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N251" i="15"/>
  <c r="M251" i="15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L221" i="15"/>
  <c r="O221" i="15" s="1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O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P119" i="15" s="1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P95" i="15"/>
  <c r="N95" i="15"/>
  <c r="M95" i="15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O67" i="15"/>
  <c r="N67" i="15"/>
  <c r="M67" i="15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N54" i="15"/>
  <c r="M54" i="15"/>
  <c r="L54" i="15"/>
  <c r="N49" i="15"/>
  <c r="L49" i="15"/>
  <c r="O49" i="15" s="1"/>
  <c r="L47" i="15"/>
  <c r="L46" i="15"/>
  <c r="N45" i="15"/>
  <c r="M45" i="15"/>
  <c r="M43" i="15" s="1"/>
  <c r="P42" i="15"/>
  <c r="N42" i="15"/>
  <c r="M42" i="15"/>
  <c r="L42" i="15"/>
  <c r="O42" i="15" s="1"/>
  <c r="P36" i="15"/>
  <c r="O36" i="15"/>
  <c r="P35" i="15"/>
  <c r="O35" i="15"/>
  <c r="M34" i="15"/>
  <c r="P34" i="15" s="1"/>
  <c r="M33" i="15"/>
  <c r="P33" i="15" s="1"/>
  <c r="P32" i="15"/>
  <c r="M32" i="15"/>
  <c r="P31" i="15"/>
  <c r="M31" i="15"/>
  <c r="P30" i="15"/>
  <c r="M30" i="15"/>
  <c r="P29" i="15"/>
  <c r="M29" i="15"/>
  <c r="M28" i="15" s="1"/>
  <c r="P28" i="15" s="1"/>
  <c r="O25" i="15"/>
  <c r="N25" i="15"/>
  <c r="N15" i="15" s="1"/>
  <c r="M25" i="15"/>
  <c r="L25" i="15"/>
  <c r="N24" i="15"/>
  <c r="M24" i="15"/>
  <c r="P24" i="15" s="1"/>
  <c r="N23" i="15"/>
  <c r="M23" i="15"/>
  <c r="P23" i="15" s="1"/>
  <c r="O21" i="15"/>
  <c r="N21" i="15"/>
  <c r="M21" i="15"/>
  <c r="L21" i="15"/>
  <c r="O19" i="15"/>
  <c r="N19" i="15"/>
  <c r="L19" i="15"/>
  <c r="L15" i="15"/>
  <c r="O15" i="15" s="1"/>
  <c r="M14" i="15"/>
  <c r="P14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P272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L146" i="14"/>
  <c r="L145" i="14"/>
  <c r="N144" i="14"/>
  <c r="M144" i="14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O97" i="14"/>
  <c r="N95" i="14"/>
  <c r="M95" i="14"/>
  <c r="L95" i="14"/>
  <c r="O95" i="14" s="1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O69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P54" i="14"/>
  <c r="N54" i="14"/>
  <c r="M54" i="14"/>
  <c r="L54" i="14"/>
  <c r="O54" i="14" s="1"/>
  <c r="N49" i="14"/>
  <c r="L49" i="14"/>
  <c r="L47" i="14"/>
  <c r="L46" i="14"/>
  <c r="N45" i="14"/>
  <c r="M45" i="14"/>
  <c r="O42" i="14"/>
  <c r="N42" i="14"/>
  <c r="M42" i="14"/>
  <c r="P42" i="14" s="1"/>
  <c r="L42" i="14"/>
  <c r="P36" i="14"/>
  <c r="O36" i="14"/>
  <c r="P35" i="14"/>
  <c r="O35" i="14"/>
  <c r="P34" i="14"/>
  <c r="M34" i="14"/>
  <c r="M33" i="14"/>
  <c r="P33" i="14" s="1"/>
  <c r="M32" i="14"/>
  <c r="M31" i="14"/>
  <c r="P31" i="14" s="1"/>
  <c r="M29" i="14"/>
  <c r="P25" i="14"/>
  <c r="N25" i="14"/>
  <c r="M25" i="14"/>
  <c r="L25" i="14"/>
  <c r="O25" i="14" s="1"/>
  <c r="N24" i="14"/>
  <c r="M24" i="14"/>
  <c r="P23" i="14"/>
  <c r="N23" i="14"/>
  <c r="M23" i="14"/>
  <c r="P21" i="14"/>
  <c r="N21" i="14"/>
  <c r="M21" i="14"/>
  <c r="L21" i="14"/>
  <c r="M19" i="14"/>
  <c r="P19" i="14" s="1"/>
  <c r="P15" i="14"/>
  <c r="O15" i="14"/>
  <c r="M15" i="14"/>
  <c r="L15" i="14"/>
  <c r="M13" i="14"/>
  <c r="P13" i="14" s="1"/>
  <c r="M11" i="14"/>
  <c r="P11" i="14" s="1"/>
  <c r="M9" i="14"/>
  <c r="J677" i="13"/>
  <c r="J676" i="13"/>
  <c r="J675" i="13"/>
  <c r="J674" i="13"/>
  <c r="J673" i="13"/>
  <c r="J672" i="13"/>
  <c r="N671" i="13"/>
  <c r="L671" i="13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6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P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L316" i="13"/>
  <c r="L315" i="13"/>
  <c r="N314" i="13"/>
  <c r="M314" i="13"/>
  <c r="P314" i="13" s="1"/>
  <c r="O313" i="13"/>
  <c r="N311" i="13"/>
  <c r="M311" i="13"/>
  <c r="P311" i="13" s="1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O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O95" i="13"/>
  <c r="N95" i="13"/>
  <c r="M95" i="13"/>
  <c r="L95" i="13"/>
  <c r="J93" i="13"/>
  <c r="I93" i="13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P68" i="13" s="1"/>
  <c r="O69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M53" i="13" s="1"/>
  <c r="P54" i="13"/>
  <c r="O54" i="13"/>
  <c r="N54" i="13"/>
  <c r="M54" i="13"/>
  <c r="L54" i="13"/>
  <c r="N49" i="13"/>
  <c r="L49" i="13"/>
  <c r="L47" i="13"/>
  <c r="L46" i="13"/>
  <c r="N45" i="13"/>
  <c r="M45" i="13"/>
  <c r="P42" i="13"/>
  <c r="O42" i="13"/>
  <c r="N42" i="13"/>
  <c r="M42" i="13"/>
  <c r="L42" i="13"/>
  <c r="P36" i="13"/>
  <c r="O36" i="13"/>
  <c r="P35" i="13"/>
  <c r="O35" i="13"/>
  <c r="P34" i="13"/>
  <c r="M34" i="13"/>
  <c r="P33" i="13"/>
  <c r="M33" i="13"/>
  <c r="P32" i="13"/>
  <c r="M32" i="13"/>
  <c r="M31" i="13"/>
  <c r="P31" i="13" s="1"/>
  <c r="M30" i="13"/>
  <c r="P30" i="13" s="1"/>
  <c r="P25" i="13"/>
  <c r="O25" i="13"/>
  <c r="N25" i="13"/>
  <c r="N15" i="13" s="1"/>
  <c r="M25" i="13"/>
  <c r="L25" i="13"/>
  <c r="N24" i="13"/>
  <c r="M24" i="13"/>
  <c r="N23" i="13"/>
  <c r="M23" i="13"/>
  <c r="P21" i="13"/>
  <c r="N21" i="13"/>
  <c r="M21" i="13"/>
  <c r="M19" i="13" s="1"/>
  <c r="L21" i="13"/>
  <c r="N19" i="13"/>
  <c r="M15" i="13"/>
  <c r="P15" i="13" s="1"/>
  <c r="L15" i="13"/>
  <c r="O15" i="13" s="1"/>
  <c r="M11" i="13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1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N272" i="12"/>
  <c r="M272" i="12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O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P70" i="12" s="1"/>
  <c r="O69" i="12"/>
  <c r="P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L54" i="12"/>
  <c r="O54" i="12" s="1"/>
  <c r="N49" i="12"/>
  <c r="L49" i="12"/>
  <c r="M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M32" i="12"/>
  <c r="P32" i="12" s="1"/>
  <c r="M31" i="12"/>
  <c r="O25" i="12"/>
  <c r="N25" i="12"/>
  <c r="N15" i="12" s="1"/>
  <c r="M25" i="12"/>
  <c r="M19" i="12" s="1"/>
  <c r="L25" i="12"/>
  <c r="N24" i="12"/>
  <c r="M24" i="12"/>
  <c r="N23" i="12"/>
  <c r="M23" i="12"/>
  <c r="P21" i="12"/>
  <c r="O21" i="12"/>
  <c r="N21" i="12"/>
  <c r="M21" i="12"/>
  <c r="L21" i="12"/>
  <c r="O19" i="12"/>
  <c r="N19" i="12"/>
  <c r="L19" i="12"/>
  <c r="L15" i="12"/>
  <c r="O15" i="12" s="1"/>
  <c r="M11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1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P272" i="11"/>
  <c r="N272" i="11"/>
  <c r="M272" i="1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O251" i="11"/>
  <c r="N251" i="11"/>
  <c r="M251" i="11"/>
  <c r="P251" i="11" s="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M220" i="11" s="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L146" i="11"/>
  <c r="L145" i="11"/>
  <c r="N144" i="11"/>
  <c r="M144" i="11"/>
  <c r="M142" i="11" s="1"/>
  <c r="O143" i="11"/>
  <c r="O141" i="11"/>
  <c r="N141" i="11"/>
  <c r="M141" i="1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O67" i="11"/>
  <c r="N67" i="11"/>
  <c r="M67" i="11"/>
  <c r="L67" i="11"/>
  <c r="J65" i="11"/>
  <c r="I65" i="11"/>
  <c r="J64" i="11"/>
  <c r="I64" i="11"/>
  <c r="N61" i="11"/>
  <c r="L61" i="11"/>
  <c r="L59" i="11"/>
  <c r="L58" i="11"/>
  <c r="N57" i="11"/>
  <c r="M57" i="11"/>
  <c r="P54" i="11"/>
  <c r="O54" i="11"/>
  <c r="N54" i="11"/>
  <c r="M54" i="11"/>
  <c r="L54" i="11"/>
  <c r="N49" i="11"/>
  <c r="L49" i="11"/>
  <c r="L47" i="11"/>
  <c r="L46" i="11"/>
  <c r="N45" i="11"/>
  <c r="M45" i="11"/>
  <c r="P42" i="11"/>
  <c r="N42" i="11"/>
  <c r="M42" i="11"/>
  <c r="L42" i="11"/>
  <c r="O42" i="11" s="1"/>
  <c r="P36" i="11"/>
  <c r="O36" i="11"/>
  <c r="P35" i="11"/>
  <c r="O35" i="11"/>
  <c r="M34" i="11"/>
  <c r="P34" i="11" s="1"/>
  <c r="P33" i="11"/>
  <c r="M33" i="11"/>
  <c r="M32" i="11"/>
  <c r="P32" i="11" s="1"/>
  <c r="P31" i="11"/>
  <c r="M31" i="11"/>
  <c r="M30" i="11"/>
  <c r="M28" i="11" s="1"/>
  <c r="P28" i="11" s="1"/>
  <c r="P29" i="11"/>
  <c r="M29" i="11"/>
  <c r="N25" i="11"/>
  <c r="M25" i="11"/>
  <c r="M19" i="11" s="1"/>
  <c r="L25" i="11"/>
  <c r="N24" i="11"/>
  <c r="M24" i="11"/>
  <c r="P24" i="11" s="1"/>
  <c r="N23" i="11"/>
  <c r="M23" i="11"/>
  <c r="P21" i="11"/>
  <c r="O21" i="11"/>
  <c r="N21" i="11"/>
  <c r="N19" i="11" s="1"/>
  <c r="M21" i="11"/>
  <c r="L21" i="11"/>
  <c r="N15" i="11"/>
  <c r="M14" i="11"/>
  <c r="P14" i="11" s="1"/>
  <c r="M11" i="11"/>
  <c r="P11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P291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O223" i="10"/>
  <c r="N221" i="10"/>
  <c r="M221" i="10"/>
  <c r="P221" i="10" s="1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L146" i="10"/>
  <c r="L145" i="10"/>
  <c r="N144" i="10"/>
  <c r="M144" i="10"/>
  <c r="M142" i="10" s="1"/>
  <c r="O143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P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K80" i="10" s="1"/>
  <c r="J79" i="10"/>
  <c r="J78" i="10"/>
  <c r="J77" i="10"/>
  <c r="J76" i="10"/>
  <c r="N74" i="10"/>
  <c r="L74" i="10"/>
  <c r="L72" i="10"/>
  <c r="L71" i="10"/>
  <c r="N70" i="10"/>
  <c r="M70" i="10"/>
  <c r="O69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O54" i="10"/>
  <c r="N54" i="10"/>
  <c r="M54" i="10"/>
  <c r="P54" i="10" s="1"/>
  <c r="L54" i="10"/>
  <c r="N49" i="10"/>
  <c r="L49" i="10"/>
  <c r="O49" i="10" s="1"/>
  <c r="L47" i="10"/>
  <c r="L46" i="10"/>
  <c r="N45" i="10"/>
  <c r="M45" i="10"/>
  <c r="M43" i="10" s="1"/>
  <c r="P42" i="10"/>
  <c r="O42" i="10"/>
  <c r="N42" i="10"/>
  <c r="M42" i="10"/>
  <c r="L42" i="10"/>
  <c r="P36" i="10"/>
  <c r="O36" i="10"/>
  <c r="P35" i="10"/>
  <c r="O35" i="10"/>
  <c r="P34" i="10"/>
  <c r="M34" i="10"/>
  <c r="P33" i="10"/>
  <c r="M33" i="10"/>
  <c r="M32" i="10"/>
  <c r="M31" i="10"/>
  <c r="O25" i="10"/>
  <c r="N25" i="10"/>
  <c r="N15" i="10" s="1"/>
  <c r="M25" i="10"/>
  <c r="L25" i="10"/>
  <c r="L19" i="10" s="1"/>
  <c r="N24" i="10"/>
  <c r="M24" i="10"/>
  <c r="P23" i="10"/>
  <c r="N23" i="10"/>
  <c r="M23" i="10"/>
  <c r="P21" i="10"/>
  <c r="O21" i="10"/>
  <c r="N21" i="10"/>
  <c r="M21" i="10"/>
  <c r="L21" i="10"/>
  <c r="M19" i="10"/>
  <c r="M13" i="10"/>
  <c r="P13" i="10" s="1"/>
  <c r="M11" i="10"/>
  <c r="J677" i="9"/>
  <c r="J676" i="9"/>
  <c r="J675" i="9"/>
  <c r="J674" i="9"/>
  <c r="J673" i="9"/>
  <c r="J672" i="9"/>
  <c r="N671" i="9"/>
  <c r="L671" i="9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1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O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M140" i="9" s="1"/>
  <c r="O143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M118" i="9" s="1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O97" i="9"/>
  <c r="P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P54" i="9"/>
  <c r="N54" i="9"/>
  <c r="M54" i="9"/>
  <c r="L54" i="9"/>
  <c r="O54" i="9" s="1"/>
  <c r="N49" i="9"/>
  <c r="L49" i="9"/>
  <c r="L47" i="9"/>
  <c r="L46" i="9"/>
  <c r="N45" i="9"/>
  <c r="M45" i="9"/>
  <c r="N42" i="9"/>
  <c r="M42" i="9"/>
  <c r="P42" i="9" s="1"/>
  <c r="L42" i="9"/>
  <c r="P36" i="9"/>
  <c r="O36" i="9"/>
  <c r="P35" i="9"/>
  <c r="O35" i="9"/>
  <c r="M34" i="9"/>
  <c r="P34" i="9" s="1"/>
  <c r="M33" i="9"/>
  <c r="P32" i="9"/>
  <c r="M32" i="9"/>
  <c r="M30" i="9" s="1"/>
  <c r="M28" i="9" s="1"/>
  <c r="P28" i="9" s="1"/>
  <c r="P31" i="9"/>
  <c r="M31" i="9"/>
  <c r="P29" i="9"/>
  <c r="M29" i="9"/>
  <c r="P25" i="9"/>
  <c r="N25" i="9"/>
  <c r="M25" i="9"/>
  <c r="L25" i="9"/>
  <c r="P24" i="9"/>
  <c r="N24" i="9"/>
  <c r="M24" i="9"/>
  <c r="P23" i="9"/>
  <c r="N23" i="9"/>
  <c r="M23" i="9"/>
  <c r="O21" i="9"/>
  <c r="N21" i="9"/>
  <c r="M21" i="9"/>
  <c r="L21" i="9"/>
  <c r="P15" i="9"/>
  <c r="N15" i="9"/>
  <c r="M15" i="9"/>
  <c r="M14" i="9"/>
  <c r="P14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N314" i="8"/>
  <c r="M314" i="8"/>
  <c r="P314" i="8" s="1"/>
  <c r="O313" i="8"/>
  <c r="O311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O251" i="8"/>
  <c r="N251" i="8"/>
  <c r="M251" i="8"/>
  <c r="P251" i="8" s="1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N221" i="8"/>
  <c r="M221" i="8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L146" i="8"/>
  <c r="L145" i="8"/>
  <c r="N144" i="8"/>
  <c r="M144" i="8"/>
  <c r="O143" i="8"/>
  <c r="O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O97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O54" i="8"/>
  <c r="N54" i="8"/>
  <c r="M54" i="8"/>
  <c r="L54" i="8"/>
  <c r="N49" i="8"/>
  <c r="L49" i="8"/>
  <c r="M49" i="8" s="1"/>
  <c r="L47" i="8"/>
  <c r="L46" i="8"/>
  <c r="N45" i="8"/>
  <c r="M45" i="8"/>
  <c r="P42" i="8"/>
  <c r="O42" i="8"/>
  <c r="N42" i="8"/>
  <c r="M42" i="8"/>
  <c r="L42" i="8"/>
  <c r="P36" i="8"/>
  <c r="O36" i="8"/>
  <c r="P35" i="8"/>
  <c r="O35" i="8"/>
  <c r="M34" i="8"/>
  <c r="P34" i="8" s="1"/>
  <c r="P33" i="8"/>
  <c r="M33" i="8"/>
  <c r="M32" i="8"/>
  <c r="P32" i="8" s="1"/>
  <c r="P31" i="8"/>
  <c r="M31" i="8"/>
  <c r="M29" i="8" s="1"/>
  <c r="M30" i="8"/>
  <c r="P30" i="8" s="1"/>
  <c r="O25" i="8"/>
  <c r="N25" i="8"/>
  <c r="N19" i="8" s="1"/>
  <c r="M25" i="8"/>
  <c r="P25" i="8" s="1"/>
  <c r="L25" i="8"/>
  <c r="N24" i="8"/>
  <c r="M24" i="8"/>
  <c r="N23" i="8"/>
  <c r="M23" i="8"/>
  <c r="P21" i="8"/>
  <c r="N21" i="8"/>
  <c r="M21" i="8"/>
  <c r="M19" i="8" s="1"/>
  <c r="P19" i="8" s="1"/>
  <c r="L21" i="8"/>
  <c r="O21" i="8" s="1"/>
  <c r="O19" i="8"/>
  <c r="L19" i="8"/>
  <c r="N15" i="8"/>
  <c r="M15" i="8"/>
  <c r="P15" i="8" s="1"/>
  <c r="L15" i="8"/>
  <c r="O15" i="8" s="1"/>
  <c r="M11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N272" i="7"/>
  <c r="M272" i="7"/>
  <c r="P272" i="7" s="1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N221" i="7"/>
  <c r="M221" i="7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M140" i="7" s="1"/>
  <c r="O143" i="7"/>
  <c r="O141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P120" i="7" s="1"/>
  <c r="O121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P95" i="7"/>
  <c r="O95" i="7"/>
  <c r="N95" i="7"/>
  <c r="M95" i="7"/>
  <c r="L95" i="7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P67" i="7"/>
  <c r="O67" i="7"/>
  <c r="N67" i="7"/>
  <c r="M67" i="7"/>
  <c r="L67" i="7"/>
  <c r="J65" i="7"/>
  <c r="I65" i="7"/>
  <c r="J64" i="7"/>
  <c r="I64" i="7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M49" i="7" s="1"/>
  <c r="L47" i="7"/>
  <c r="L46" i="7"/>
  <c r="N45" i="7"/>
  <c r="M45" i="7"/>
  <c r="N42" i="7"/>
  <c r="M42" i="7"/>
  <c r="L42" i="7"/>
  <c r="O42" i="7" s="1"/>
  <c r="P36" i="7"/>
  <c r="O36" i="7"/>
  <c r="P35" i="7"/>
  <c r="O35" i="7"/>
  <c r="M34" i="7"/>
  <c r="P34" i="7" s="1"/>
  <c r="M33" i="7"/>
  <c r="P33" i="7" s="1"/>
  <c r="M32" i="7"/>
  <c r="M31" i="7"/>
  <c r="P31" i="7" s="1"/>
  <c r="N25" i="7"/>
  <c r="M25" i="7"/>
  <c r="L25" i="7"/>
  <c r="N24" i="7"/>
  <c r="M24" i="7"/>
  <c r="P24" i="7" s="1"/>
  <c r="N23" i="7"/>
  <c r="M23" i="7"/>
  <c r="P23" i="7" s="1"/>
  <c r="P21" i="7"/>
  <c r="O21" i="7"/>
  <c r="N21" i="7"/>
  <c r="M21" i="7"/>
  <c r="L21" i="7"/>
  <c r="M19" i="7"/>
  <c r="N15" i="7"/>
  <c r="P14" i="7"/>
  <c r="M14" i="7"/>
  <c r="M13" i="7"/>
  <c r="P13" i="7" s="1"/>
  <c r="M11" i="7"/>
  <c r="P11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1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O291" i="6"/>
  <c r="N291" i="6"/>
  <c r="M291" i="6"/>
  <c r="P291" i="6" s="1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M271" i="6" s="1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M250" i="6" s="1"/>
  <c r="O253" i="6"/>
  <c r="P251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M220" i="6" s="1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L146" i="6"/>
  <c r="L145" i="6"/>
  <c r="N144" i="6"/>
  <c r="M144" i="6"/>
  <c r="O143" i="6"/>
  <c r="N141" i="6"/>
  <c r="M141" i="6"/>
  <c r="P141" i="6" s="1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P95" i="6" s="1"/>
  <c r="L95" i="6"/>
  <c r="O95" i="6" s="1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L72" i="6"/>
  <c r="L71" i="6"/>
  <c r="N70" i="6"/>
  <c r="M70" i="6"/>
  <c r="O69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P54" i="6" s="1"/>
  <c r="L54" i="6"/>
  <c r="O54" i="6" s="1"/>
  <c r="N49" i="6"/>
  <c r="L49" i="6"/>
  <c r="O49" i="6" s="1"/>
  <c r="L47" i="6"/>
  <c r="L46" i="6"/>
  <c r="N45" i="6"/>
  <c r="M45" i="6"/>
  <c r="M43" i="6" s="1"/>
  <c r="M41" i="6" s="1"/>
  <c r="O42" i="6"/>
  <c r="N42" i="6"/>
  <c r="M42" i="6"/>
  <c r="P42" i="6" s="1"/>
  <c r="L42" i="6"/>
  <c r="P36" i="6"/>
  <c r="O36" i="6"/>
  <c r="P35" i="6"/>
  <c r="O35" i="6"/>
  <c r="P34" i="6"/>
  <c r="M34" i="6"/>
  <c r="M33" i="6"/>
  <c r="P33" i="6" s="1"/>
  <c r="M32" i="6"/>
  <c r="M31" i="6"/>
  <c r="N25" i="6"/>
  <c r="M25" i="6"/>
  <c r="L25" i="6"/>
  <c r="N24" i="6"/>
  <c r="M24" i="6"/>
  <c r="P23" i="6"/>
  <c r="N23" i="6"/>
  <c r="M23" i="6"/>
  <c r="P21" i="6"/>
  <c r="O21" i="6"/>
  <c r="N21" i="6"/>
  <c r="M21" i="6"/>
  <c r="L21" i="6"/>
  <c r="M19" i="6"/>
  <c r="P19" i="6" s="1"/>
  <c r="L19" i="6"/>
  <c r="O19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6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O439" i="5" s="1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K401" i="5" s="1"/>
  <c r="J400" i="5"/>
  <c r="J399" i="5"/>
  <c r="J398" i="5"/>
  <c r="I398" i="5"/>
  <c r="K398" i="5" s="1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M312" i="5"/>
  <c r="P312" i="5" s="1"/>
  <c r="P311" i="5"/>
  <c r="O311" i="5"/>
  <c r="N311" i="5"/>
  <c r="M311" i="5"/>
  <c r="L311" i="5"/>
  <c r="M310" i="5"/>
  <c r="P310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O291" i="5"/>
  <c r="N291" i="5"/>
  <c r="M291" i="5"/>
  <c r="P291" i="5" s="1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M271" i="5" s="1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M220" i="5" s="1"/>
  <c r="O223" i="5"/>
  <c r="O221" i="5"/>
  <c r="N221" i="5"/>
  <c r="M221" i="5"/>
  <c r="P221" i="5" s="1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N141" i="5"/>
  <c r="M141" i="5"/>
  <c r="P141" i="5" s="1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N119" i="5"/>
  <c r="M119" i="5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L72" i="5"/>
  <c r="L71" i="5"/>
  <c r="N70" i="5"/>
  <c r="M70" i="5"/>
  <c r="M68" i="5" s="1"/>
  <c r="P68" i="5" s="1"/>
  <c r="O69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N54" i="5"/>
  <c r="M54" i="5"/>
  <c r="P54" i="5" s="1"/>
  <c r="L54" i="5"/>
  <c r="O54" i="5" s="1"/>
  <c r="N49" i="5"/>
  <c r="L49" i="5"/>
  <c r="O49" i="5" s="1"/>
  <c r="L47" i="5"/>
  <c r="L46" i="5"/>
  <c r="N45" i="5"/>
  <c r="M45" i="5"/>
  <c r="M43" i="5" s="1"/>
  <c r="M41" i="5" s="1"/>
  <c r="O42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M32" i="5"/>
  <c r="M31" i="5"/>
  <c r="N25" i="5"/>
  <c r="M25" i="5"/>
  <c r="L25" i="5"/>
  <c r="N24" i="5"/>
  <c r="M24" i="5"/>
  <c r="P23" i="5"/>
  <c r="N23" i="5"/>
  <c r="M23" i="5"/>
  <c r="P21" i="5"/>
  <c r="O21" i="5"/>
  <c r="N21" i="5"/>
  <c r="M21" i="5"/>
  <c r="L21" i="5"/>
  <c r="L19" i="5"/>
  <c r="O19" i="5" s="1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O311" i="4"/>
  <c r="N311" i="4"/>
  <c r="M311" i="4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O291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M271" i="4" s="1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N141" i="4"/>
  <c r="M141" i="4"/>
  <c r="L141" i="4"/>
  <c r="O141" i="4" s="1"/>
  <c r="J138" i="4"/>
  <c r="I138" i="4"/>
  <c r="J135" i="4"/>
  <c r="J134" i="4"/>
  <c r="J133" i="4"/>
  <c r="I133" i="4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P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N95" i="4"/>
  <c r="M95" i="4"/>
  <c r="L95" i="4"/>
  <c r="O95" i="4" s="1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N67" i="4"/>
  <c r="M67" i="4"/>
  <c r="L67" i="4"/>
  <c r="J65" i="4"/>
  <c r="I65" i="4"/>
  <c r="J64" i="4"/>
  <c r="I64" i="4"/>
  <c r="N61" i="4"/>
  <c r="L61" i="4"/>
  <c r="O61" i="4" s="1"/>
  <c r="L59" i="4"/>
  <c r="L58" i="4"/>
  <c r="N57" i="4"/>
  <c r="M57" i="4"/>
  <c r="M55" i="4" s="1"/>
  <c r="N54" i="4"/>
  <c r="M54" i="4"/>
  <c r="L54" i="4"/>
  <c r="O54" i="4" s="1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P33" i="4"/>
  <c r="M33" i="4"/>
  <c r="M32" i="4"/>
  <c r="P32" i="4" s="1"/>
  <c r="M31" i="4"/>
  <c r="M11" i="4" s="1"/>
  <c r="O25" i="4"/>
  <c r="N25" i="4"/>
  <c r="N15" i="4" s="1"/>
  <c r="M25" i="4"/>
  <c r="M19" i="4" s="1"/>
  <c r="L25" i="4"/>
  <c r="N24" i="4"/>
  <c r="M24" i="4"/>
  <c r="N23" i="4"/>
  <c r="M23" i="4"/>
  <c r="P21" i="4"/>
  <c r="O21" i="4"/>
  <c r="N21" i="4"/>
  <c r="M21" i="4"/>
  <c r="L21" i="4"/>
  <c r="O19" i="4"/>
  <c r="L19" i="4"/>
  <c r="L15" i="4"/>
  <c r="O15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M331" i="3" s="1"/>
  <c r="O332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O311" i="3"/>
  <c r="N311" i="3"/>
  <c r="N311" i="1" s="1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M271" i="3" s="1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L256" i="3"/>
  <c r="L255" i="3"/>
  <c r="N254" i="3"/>
  <c r="M254" i="3"/>
  <c r="O253" i="3"/>
  <c r="O251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L226" i="3"/>
  <c r="L225" i="3"/>
  <c r="N224" i="3"/>
  <c r="M224" i="3"/>
  <c r="O223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L124" i="3"/>
  <c r="L123" i="3"/>
  <c r="N122" i="3"/>
  <c r="M122" i="3"/>
  <c r="P122" i="3" s="1"/>
  <c r="O121" i="3"/>
  <c r="P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P67" i="3"/>
  <c r="N67" i="3"/>
  <c r="M67" i="3"/>
  <c r="L67" i="3"/>
  <c r="J65" i="3"/>
  <c r="I65" i="3"/>
  <c r="J64" i="3"/>
  <c r="I64" i="3"/>
  <c r="N61" i="3"/>
  <c r="L61" i="3"/>
  <c r="L59" i="3"/>
  <c r="L58" i="3"/>
  <c r="N57" i="3"/>
  <c r="M57" i="3"/>
  <c r="M55" i="3" s="1"/>
  <c r="N54" i="3"/>
  <c r="M54" i="3"/>
  <c r="L54" i="3"/>
  <c r="O54" i="3" s="1"/>
  <c r="N49" i="3"/>
  <c r="L49" i="3"/>
  <c r="O49" i="3" s="1"/>
  <c r="L47" i="3"/>
  <c r="L46" i="3"/>
  <c r="N45" i="3"/>
  <c r="M45" i="3"/>
  <c r="M43" i="3" s="1"/>
  <c r="M41" i="3" s="1"/>
  <c r="N42" i="3"/>
  <c r="M42" i="3"/>
  <c r="P42" i="3" s="1"/>
  <c r="L42" i="3"/>
  <c r="O42" i="3" s="1"/>
  <c r="P36" i="3"/>
  <c r="O36" i="3"/>
  <c r="P35" i="3"/>
  <c r="O35" i="3"/>
  <c r="M34" i="3"/>
  <c r="P34" i="3" s="1"/>
  <c r="M33" i="3"/>
  <c r="P33" i="3" s="1"/>
  <c r="M32" i="3"/>
  <c r="P31" i="3"/>
  <c r="M31" i="3"/>
  <c r="P29" i="3"/>
  <c r="M29" i="3"/>
  <c r="N25" i="3"/>
  <c r="M25" i="3"/>
  <c r="L25" i="3"/>
  <c r="P24" i="3"/>
  <c r="N24" i="3"/>
  <c r="M24" i="3"/>
  <c r="P23" i="3"/>
  <c r="N23" i="3"/>
  <c r="M23" i="3"/>
  <c r="O21" i="3"/>
  <c r="N21" i="3"/>
  <c r="M21" i="3"/>
  <c r="L21" i="3"/>
  <c r="L19" i="3"/>
  <c r="O19" i="3" s="1"/>
  <c r="N15" i="3"/>
  <c r="J677" i="2"/>
  <c r="J676" i="2"/>
  <c r="J675" i="2"/>
  <c r="J674" i="2"/>
  <c r="J673" i="2"/>
  <c r="J672" i="2"/>
  <c r="N671" i="2"/>
  <c r="L671" i="2"/>
  <c r="O671" i="2" s="1"/>
  <c r="I671" i="2"/>
  <c r="J670" i="2"/>
  <c r="J669" i="2"/>
  <c r="N668" i="2"/>
  <c r="L668" i="2"/>
  <c r="J668" i="2"/>
  <c r="I668" i="2"/>
  <c r="K668" i="2" s="1"/>
  <c r="J667" i="2"/>
  <c r="J666" i="2"/>
  <c r="N665" i="2"/>
  <c r="L665" i="2"/>
  <c r="O665" i="2" s="1"/>
  <c r="J665" i="2"/>
  <c r="I665" i="2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J650" i="2"/>
  <c r="I650" i="2"/>
  <c r="K650" i="2" s="1"/>
  <c r="N649" i="2"/>
  <c r="L649" i="2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N582" i="2"/>
  <c r="L582" i="2"/>
  <c r="N581" i="2"/>
  <c r="L581" i="2"/>
  <c r="N580" i="2"/>
  <c r="L580" i="2"/>
  <c r="J580" i="2"/>
  <c r="I580" i="2"/>
  <c r="J579" i="2"/>
  <c r="I579" i="2"/>
  <c r="K579" i="2" s="1"/>
  <c r="J578" i="2"/>
  <c r="I578" i="2"/>
  <c r="J577" i="2"/>
  <c r="I577" i="2"/>
  <c r="K577" i="2" s="1"/>
  <c r="J576" i="2"/>
  <c r="I576" i="2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J512" i="2"/>
  <c r="I512" i="2"/>
  <c r="K512" i="2" s="1"/>
  <c r="J511" i="2"/>
  <c r="I511" i="2"/>
  <c r="J510" i="2"/>
  <c r="I510" i="2"/>
  <c r="K510" i="2" s="1"/>
  <c r="J509" i="2"/>
  <c r="I509" i="2"/>
  <c r="K509" i="2" s="1"/>
  <c r="J508" i="2"/>
  <c r="I508" i="2"/>
  <c r="K508" i="2" s="1"/>
  <c r="J507" i="2"/>
  <c r="I507" i="2"/>
  <c r="J506" i="2"/>
  <c r="I506" i="2"/>
  <c r="K506" i="2" s="1"/>
  <c r="J505" i="2"/>
  <c r="I505" i="2"/>
  <c r="J504" i="2"/>
  <c r="I504" i="2"/>
  <c r="K504" i="2" s="1"/>
  <c r="J503" i="2"/>
  <c r="I503" i="2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J492" i="2"/>
  <c r="I492" i="2"/>
  <c r="K492" i="2" s="1"/>
  <c r="J491" i="2"/>
  <c r="I491" i="2"/>
  <c r="J490" i="2"/>
  <c r="I490" i="2"/>
  <c r="K490" i="2" s="1"/>
  <c r="J489" i="2"/>
  <c r="I489" i="2"/>
  <c r="J488" i="2"/>
  <c r="I488" i="2"/>
  <c r="K488" i="2" s="1"/>
  <c r="J487" i="2"/>
  <c r="I487" i="2"/>
  <c r="J486" i="2"/>
  <c r="I486" i="2"/>
  <c r="K486" i="2" s="1"/>
  <c r="J485" i="2"/>
  <c r="I485" i="2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J374" i="2"/>
  <c r="I374" i="2"/>
  <c r="J373" i="2"/>
  <c r="I373" i="2"/>
  <c r="J372" i="2"/>
  <c r="I372" i="2"/>
  <c r="K372" i="2" s="1"/>
  <c r="J371" i="2"/>
  <c r="I371" i="2"/>
  <c r="J370" i="2"/>
  <c r="I370" i="2"/>
  <c r="K370" i="2" s="1"/>
  <c r="J369" i="2"/>
  <c r="I369" i="2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O352" i="2" s="1"/>
  <c r="N351" i="2"/>
  <c r="L351" i="2"/>
  <c r="J350" i="2"/>
  <c r="I350" i="2"/>
  <c r="K350" i="2" s="1"/>
  <c r="N349" i="2"/>
  <c r="L349" i="2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N337" i="2"/>
  <c r="L337" i="2"/>
  <c r="O337" i="2" s="1"/>
  <c r="L335" i="2"/>
  <c r="L334" i="2"/>
  <c r="N333" i="2"/>
  <c r="M333" i="2"/>
  <c r="M331" i="2" s="1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M312" i="2" s="1"/>
  <c r="O313" i="2"/>
  <c r="N311" i="2"/>
  <c r="M311" i="2"/>
  <c r="L311" i="2"/>
  <c r="O311" i="2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P294" i="2" s="1"/>
  <c r="O293" i="2"/>
  <c r="P291" i="2"/>
  <c r="N291" i="2"/>
  <c r="M291" i="2"/>
  <c r="L291" i="2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L256" i="2"/>
  <c r="L255" i="2"/>
  <c r="N254" i="2"/>
  <c r="M254" i="2"/>
  <c r="O253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N221" i="2"/>
  <c r="M221" i="2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P119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O95" i="2"/>
  <c r="N95" i="2"/>
  <c r="M95" i="2"/>
  <c r="P95" i="2" s="1"/>
  <c r="L95" i="2"/>
  <c r="J93" i="2"/>
  <c r="I93" i="2"/>
  <c r="K93" i="2" s="1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N67" i="2"/>
  <c r="M67" i="2"/>
  <c r="P67" i="2" s="1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M53" i="2" s="1"/>
  <c r="O54" i="2"/>
  <c r="N54" i="2"/>
  <c r="M54" i="2"/>
  <c r="P54" i="2" s="1"/>
  <c r="L54" i="2"/>
  <c r="N49" i="2"/>
  <c r="L49" i="2"/>
  <c r="O49" i="2" s="1"/>
  <c r="L47" i="2"/>
  <c r="L46" i="2"/>
  <c r="N45" i="2"/>
  <c r="M45" i="2"/>
  <c r="M43" i="2" s="1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M32" i="2"/>
  <c r="P32" i="2" s="1"/>
  <c r="M31" i="2"/>
  <c r="M30" i="2"/>
  <c r="P30" i="2" s="1"/>
  <c r="P26" i="2"/>
  <c r="M26" i="2"/>
  <c r="O25" i="2"/>
  <c r="N25" i="2"/>
  <c r="N15" i="2" s="1"/>
  <c r="M25" i="2"/>
  <c r="L25" i="2"/>
  <c r="N24" i="2"/>
  <c r="M24" i="2"/>
  <c r="N23" i="2"/>
  <c r="M23" i="2"/>
  <c r="P21" i="2"/>
  <c r="O21" i="2"/>
  <c r="N21" i="2"/>
  <c r="M21" i="2"/>
  <c r="L21" i="2"/>
  <c r="O19" i="2"/>
  <c r="N19" i="2"/>
  <c r="L19" i="2"/>
  <c r="M16" i="2"/>
  <c r="P16" i="2" s="1"/>
  <c r="L15" i="2"/>
  <c r="O15" i="2" s="1"/>
  <c r="O639" i="1"/>
  <c r="O637" i="1"/>
  <c r="I548" i="1"/>
  <c r="K548" i="1" s="1"/>
  <c r="I365" i="1"/>
  <c r="K365" i="1" s="1"/>
  <c r="L336" i="1"/>
  <c r="O332" i="1"/>
  <c r="N332" i="1"/>
  <c r="M332" i="1"/>
  <c r="L332" i="1"/>
  <c r="L317" i="1"/>
  <c r="O313" i="1"/>
  <c r="N313" i="1"/>
  <c r="M313" i="1"/>
  <c r="L313" i="1"/>
  <c r="L311" i="1"/>
  <c r="O311" i="1" s="1"/>
  <c r="J307" i="1"/>
  <c r="L297" i="1"/>
  <c r="N293" i="1"/>
  <c r="M293" i="1"/>
  <c r="L293" i="1"/>
  <c r="O293" i="1" s="1"/>
  <c r="L278" i="1"/>
  <c r="N274" i="1"/>
  <c r="M274" i="1"/>
  <c r="L274" i="1"/>
  <c r="O274" i="1" s="1"/>
  <c r="L257" i="1"/>
  <c r="O253" i="1"/>
  <c r="N253" i="1"/>
  <c r="M253" i="1"/>
  <c r="L253" i="1"/>
  <c r="L251" i="1"/>
  <c r="O251" i="1" s="1"/>
  <c r="J240" i="1"/>
  <c r="L227" i="1"/>
  <c r="N223" i="1"/>
  <c r="M223" i="1"/>
  <c r="L223" i="1"/>
  <c r="O223" i="1" s="1"/>
  <c r="N221" i="1"/>
  <c r="J214" i="1"/>
  <c r="I214" i="1"/>
  <c r="J198" i="1"/>
  <c r="L147" i="1"/>
  <c r="N143" i="1"/>
  <c r="N21" i="1" s="1"/>
  <c r="M143" i="1"/>
  <c r="L143" i="1"/>
  <c r="O143" i="1" s="1"/>
  <c r="L141" i="1"/>
  <c r="O141" i="1" s="1"/>
  <c r="L125" i="1"/>
  <c r="L25" i="1" s="1"/>
  <c r="O121" i="1"/>
  <c r="N121" i="1"/>
  <c r="M121" i="1"/>
  <c r="L121" i="1"/>
  <c r="N119" i="1"/>
  <c r="M119" i="1"/>
  <c r="P119" i="1" s="1"/>
  <c r="L101" i="1"/>
  <c r="O97" i="1"/>
  <c r="N97" i="1"/>
  <c r="M97" i="1"/>
  <c r="L97" i="1"/>
  <c r="N95" i="1"/>
  <c r="M95" i="1"/>
  <c r="P95" i="1" s="1"/>
  <c r="L95" i="1"/>
  <c r="O95" i="1" s="1"/>
  <c r="L73" i="1"/>
  <c r="O69" i="1"/>
  <c r="N69" i="1"/>
  <c r="M69" i="1"/>
  <c r="M21" i="1" s="1"/>
  <c r="M11" i="1" s="1"/>
  <c r="L69" i="1"/>
  <c r="M67" i="1"/>
  <c r="P67" i="1" s="1"/>
  <c r="L67" i="1"/>
  <c r="O67" i="1" s="1"/>
  <c r="L60" i="1"/>
  <c r="L56" i="1"/>
  <c r="L54" i="1" s="1"/>
  <c r="P54" i="1"/>
  <c r="O54" i="1"/>
  <c r="N54" i="1"/>
  <c r="M54" i="1"/>
  <c r="L48" i="1"/>
  <c r="L44" i="1"/>
  <c r="L42" i="1" s="1"/>
  <c r="O42" i="1"/>
  <c r="N42" i="1"/>
  <c r="M42" i="1"/>
  <c r="P42" i="1" s="1"/>
  <c r="P36" i="1"/>
  <c r="O36" i="1"/>
  <c r="P35" i="1"/>
  <c r="O35" i="1"/>
  <c r="P34" i="1"/>
  <c r="M34" i="1"/>
  <c r="M33" i="1"/>
  <c r="P33" i="1" s="1"/>
  <c r="M32" i="1"/>
  <c r="M31" i="1"/>
  <c r="N25" i="1"/>
  <c r="N15" i="1" s="1"/>
  <c r="M25" i="1"/>
  <c r="N24" i="1"/>
  <c r="M24" i="1"/>
  <c r="P23" i="1"/>
  <c r="N23" i="1"/>
  <c r="M23" i="1"/>
  <c r="M13" i="1"/>
  <c r="P13" i="1" s="1"/>
  <c r="O459" i="12" l="1"/>
  <c r="K533" i="12"/>
  <c r="O535" i="12"/>
  <c r="K630" i="12"/>
  <c r="N43" i="12"/>
  <c r="N41" i="12" s="1"/>
  <c r="O148" i="15"/>
  <c r="O537" i="15"/>
  <c r="K597" i="9"/>
  <c r="O599" i="9"/>
  <c r="N55" i="11"/>
  <c r="N53" i="11" s="1"/>
  <c r="N68" i="12"/>
  <c r="N66" i="12" s="1"/>
  <c r="N273" i="14"/>
  <c r="N271" i="14" s="1"/>
  <c r="P57" i="14"/>
  <c r="K164" i="14"/>
  <c r="K173" i="14"/>
  <c r="K615" i="12"/>
  <c r="N252" i="15"/>
  <c r="N250" i="15" s="1"/>
  <c r="P45" i="12"/>
  <c r="L333" i="14"/>
  <c r="K340" i="14"/>
  <c r="K343" i="14"/>
  <c r="K417" i="16"/>
  <c r="O537" i="16"/>
  <c r="K564" i="16"/>
  <c r="K635" i="16"/>
  <c r="K109" i="14"/>
  <c r="K619" i="16"/>
  <c r="N292" i="16"/>
  <c r="N312" i="6"/>
  <c r="N310" i="6" s="1"/>
  <c r="O439" i="7"/>
  <c r="K450" i="7"/>
  <c r="K464" i="7"/>
  <c r="K473" i="7"/>
  <c r="K482" i="7"/>
  <c r="K497" i="7"/>
  <c r="K533" i="7"/>
  <c r="M331" i="12"/>
  <c r="M329" i="12" s="1"/>
  <c r="O568" i="3"/>
  <c r="L122" i="13"/>
  <c r="O122" i="13" s="1"/>
  <c r="K229" i="13"/>
  <c r="K219" i="15"/>
  <c r="O584" i="3"/>
  <c r="K589" i="3"/>
  <c r="K595" i="3"/>
  <c r="K402" i="5"/>
  <c r="K634" i="3"/>
  <c r="K215" i="7"/>
  <c r="K88" i="11"/>
  <c r="K613" i="13"/>
  <c r="N292" i="11"/>
  <c r="N96" i="6"/>
  <c r="N94" i="6" s="1"/>
  <c r="J651" i="14"/>
  <c r="J671" i="14"/>
  <c r="N337" i="1"/>
  <c r="N68" i="7"/>
  <c r="N66" i="7" s="1"/>
  <c r="K375" i="3"/>
  <c r="K455" i="3"/>
  <c r="K465" i="3"/>
  <c r="K176" i="4"/>
  <c r="K185" i="4"/>
  <c r="K189" i="4"/>
  <c r="K110" i="7"/>
  <c r="K113" i="7"/>
  <c r="K427" i="10"/>
  <c r="K450" i="10"/>
  <c r="K473" i="10"/>
  <c r="O584" i="10"/>
  <c r="K589" i="10"/>
  <c r="K595" i="10"/>
  <c r="O597" i="10"/>
  <c r="K630" i="10"/>
  <c r="O383" i="11"/>
  <c r="O401" i="11"/>
  <c r="O404" i="11"/>
  <c r="K418" i="11"/>
  <c r="K533" i="11"/>
  <c r="O564" i="11"/>
  <c r="O584" i="11"/>
  <c r="K589" i="11"/>
  <c r="O597" i="11"/>
  <c r="K380" i="13"/>
  <c r="K397" i="13"/>
  <c r="K401" i="13"/>
  <c r="O406" i="13"/>
  <c r="L224" i="3"/>
  <c r="N68" i="4"/>
  <c r="K573" i="3"/>
  <c r="K580" i="3"/>
  <c r="P333" i="9"/>
  <c r="K265" i="12"/>
  <c r="K350" i="13"/>
  <c r="N120" i="16"/>
  <c r="K380" i="2"/>
  <c r="O406" i="2"/>
  <c r="O580" i="2"/>
  <c r="K635" i="2"/>
  <c r="K377" i="3"/>
  <c r="K450" i="3"/>
  <c r="K497" i="3"/>
  <c r="O535" i="3"/>
  <c r="K235" i="4"/>
  <c r="K381" i="4"/>
  <c r="N120" i="6"/>
  <c r="L224" i="9"/>
  <c r="K573" i="14"/>
  <c r="K580" i="14"/>
  <c r="L70" i="6"/>
  <c r="O70" i="6" s="1"/>
  <c r="J454" i="1"/>
  <c r="K65" i="10"/>
  <c r="N68" i="15"/>
  <c r="N273" i="16"/>
  <c r="N271" i="16" s="1"/>
  <c r="P271" i="16" s="1"/>
  <c r="K593" i="5"/>
  <c r="O385" i="9"/>
  <c r="L45" i="15"/>
  <c r="L43" i="15" s="1"/>
  <c r="N96" i="16"/>
  <c r="N222" i="16"/>
  <c r="K633" i="11"/>
  <c r="N142" i="16"/>
  <c r="N140" i="16" s="1"/>
  <c r="I429" i="1"/>
  <c r="J608" i="1"/>
  <c r="M292" i="4"/>
  <c r="P292" i="4" s="1"/>
  <c r="J484" i="1"/>
  <c r="K635" i="5"/>
  <c r="J522" i="1"/>
  <c r="K83" i="15"/>
  <c r="L144" i="15"/>
  <c r="O144" i="15" s="1"/>
  <c r="O564" i="17"/>
  <c r="K173" i="2"/>
  <c r="K324" i="2"/>
  <c r="K370" i="6"/>
  <c r="O537" i="6"/>
  <c r="K64" i="7"/>
  <c r="N644" i="7"/>
  <c r="N640" i="7" s="1"/>
  <c r="N638" i="7" s="1"/>
  <c r="N636" i="7" s="1"/>
  <c r="K343" i="8"/>
  <c r="K416" i="9"/>
  <c r="K425" i="9"/>
  <c r="K663" i="9"/>
  <c r="L98" i="10"/>
  <c r="O98" i="10" s="1"/>
  <c r="L254" i="10"/>
  <c r="L294" i="10"/>
  <c r="K381" i="11"/>
  <c r="N144" i="1"/>
  <c r="I614" i="1"/>
  <c r="J516" i="1"/>
  <c r="J519" i="1"/>
  <c r="J525" i="1"/>
  <c r="J528" i="1"/>
  <c r="J531" i="1"/>
  <c r="N533" i="1"/>
  <c r="J631" i="1"/>
  <c r="K343" i="3"/>
  <c r="N68" i="6"/>
  <c r="L123" i="1"/>
  <c r="P333" i="7"/>
  <c r="N120" i="8"/>
  <c r="N118" i="8" s="1"/>
  <c r="K349" i="9"/>
  <c r="O437" i="9"/>
  <c r="K498" i="9"/>
  <c r="P333" i="14"/>
  <c r="K328" i="15"/>
  <c r="K634" i="17"/>
  <c r="J424" i="1"/>
  <c r="N439" i="1"/>
  <c r="J470" i="1"/>
  <c r="J550" i="1"/>
  <c r="J662" i="1"/>
  <c r="L71" i="1"/>
  <c r="J115" i="1"/>
  <c r="J135" i="1"/>
  <c r="J183" i="1"/>
  <c r="J244" i="1"/>
  <c r="P333" i="2"/>
  <c r="J339" i="1"/>
  <c r="J349" i="1"/>
  <c r="N354" i="1"/>
  <c r="L385" i="1"/>
  <c r="J391" i="1"/>
  <c r="L403" i="1"/>
  <c r="O403" i="1" s="1"/>
  <c r="J412" i="1"/>
  <c r="I417" i="1"/>
  <c r="I426" i="1"/>
  <c r="I432" i="1"/>
  <c r="N442" i="1"/>
  <c r="L455" i="1"/>
  <c r="I466" i="1"/>
  <c r="N273" i="6"/>
  <c r="N271" i="6" s="1"/>
  <c r="P271" i="6" s="1"/>
  <c r="K345" i="8"/>
  <c r="N331" i="14"/>
  <c r="I626" i="1"/>
  <c r="J108" i="1"/>
  <c r="K341" i="3"/>
  <c r="J671" i="4"/>
  <c r="K110" i="5"/>
  <c r="L122" i="5"/>
  <c r="O122" i="5" s="1"/>
  <c r="K199" i="5"/>
  <c r="J268" i="1"/>
  <c r="N45" i="1"/>
  <c r="L148" i="1"/>
  <c r="J170" i="1"/>
  <c r="K64" i="11"/>
  <c r="J677" i="1"/>
  <c r="J492" i="1"/>
  <c r="M312" i="15"/>
  <c r="M310" i="15" s="1"/>
  <c r="P310" i="15" s="1"/>
  <c r="I633" i="1"/>
  <c r="J322" i="1"/>
  <c r="I589" i="1"/>
  <c r="I474" i="1"/>
  <c r="I624" i="1"/>
  <c r="K216" i="8"/>
  <c r="K376" i="8"/>
  <c r="K380" i="8"/>
  <c r="O385" i="8"/>
  <c r="O406" i="8"/>
  <c r="N559" i="1"/>
  <c r="N570" i="1"/>
  <c r="J149" i="1"/>
  <c r="L46" i="1"/>
  <c r="I648" i="1"/>
  <c r="L98" i="2"/>
  <c r="O98" i="2" s="1"/>
  <c r="P144" i="2"/>
  <c r="L45" i="3"/>
  <c r="L43" i="3" s="1"/>
  <c r="L70" i="3"/>
  <c r="O70" i="3" s="1"/>
  <c r="K112" i="3"/>
  <c r="K328" i="3"/>
  <c r="L580" i="1"/>
  <c r="K591" i="4"/>
  <c r="K597" i="4"/>
  <c r="I622" i="1"/>
  <c r="K632" i="4"/>
  <c r="K635" i="4"/>
  <c r="I651" i="1"/>
  <c r="K372" i="6"/>
  <c r="K381" i="6"/>
  <c r="K402" i="6"/>
  <c r="K425" i="6"/>
  <c r="K431" i="6"/>
  <c r="K435" i="6"/>
  <c r="O437" i="6"/>
  <c r="O650" i="6"/>
  <c r="K80" i="7"/>
  <c r="K86" i="7"/>
  <c r="K109" i="7"/>
  <c r="P144" i="7"/>
  <c r="K149" i="7"/>
  <c r="L314" i="7"/>
  <c r="O314" i="7" s="1"/>
  <c r="N312" i="8"/>
  <c r="N310" i="8" s="1"/>
  <c r="K341" i="8"/>
  <c r="K377" i="8"/>
  <c r="O380" i="8"/>
  <c r="K418" i="8"/>
  <c r="J433" i="1"/>
  <c r="J445" i="1"/>
  <c r="K380" i="10"/>
  <c r="K426" i="10"/>
  <c r="K429" i="10"/>
  <c r="K591" i="10"/>
  <c r="K597" i="10"/>
  <c r="O599" i="10"/>
  <c r="K629" i="10"/>
  <c r="K635" i="10"/>
  <c r="P122" i="11"/>
  <c r="K564" i="15"/>
  <c r="L314" i="16"/>
  <c r="O314" i="16" s="1"/>
  <c r="K573" i="16"/>
  <c r="J287" i="1"/>
  <c r="I649" i="1"/>
  <c r="J104" i="1"/>
  <c r="J156" i="1"/>
  <c r="J161" i="1"/>
  <c r="J175" i="1"/>
  <c r="J326" i="1"/>
  <c r="I343" i="1"/>
  <c r="L349" i="1"/>
  <c r="N355" i="1"/>
  <c r="J362" i="1"/>
  <c r="J367" i="1"/>
  <c r="J370" i="1"/>
  <c r="N382" i="1"/>
  <c r="J496" i="1"/>
  <c r="J564" i="1"/>
  <c r="I629" i="1"/>
  <c r="I635" i="1"/>
  <c r="J675" i="1"/>
  <c r="P275" i="6"/>
  <c r="K88" i="10"/>
  <c r="K138" i="10"/>
  <c r="L224" i="10"/>
  <c r="O224" i="10" s="1"/>
  <c r="L275" i="10"/>
  <c r="L273" i="10" s="1"/>
  <c r="L333" i="10"/>
  <c r="K547" i="10"/>
  <c r="K85" i="11"/>
  <c r="K668" i="15"/>
  <c r="K377" i="17"/>
  <c r="O404" i="17"/>
  <c r="K473" i="17"/>
  <c r="K108" i="18"/>
  <c r="N273" i="18"/>
  <c r="N271" i="18" s="1"/>
  <c r="K435" i="18"/>
  <c r="O437" i="18"/>
  <c r="O582" i="18"/>
  <c r="L226" i="1"/>
  <c r="I372" i="1"/>
  <c r="L456" i="1"/>
  <c r="O456" i="1" s="1"/>
  <c r="I506" i="1"/>
  <c r="K506" i="1" s="1"/>
  <c r="N96" i="2"/>
  <c r="N94" i="2" s="1"/>
  <c r="J112" i="1"/>
  <c r="J132" i="1"/>
  <c r="L277" i="1"/>
  <c r="I398" i="1"/>
  <c r="N120" i="4"/>
  <c r="N118" i="4" s="1"/>
  <c r="N252" i="4"/>
  <c r="N250" i="4" s="1"/>
  <c r="L24" i="10"/>
  <c r="O24" i="10" s="1"/>
  <c r="N222" i="11"/>
  <c r="N222" i="12"/>
  <c r="N220" i="12" s="1"/>
  <c r="K499" i="13"/>
  <c r="N222" i="15"/>
  <c r="N220" i="15" s="1"/>
  <c r="K622" i="15"/>
  <c r="K429" i="16"/>
  <c r="K629" i="16"/>
  <c r="K621" i="17"/>
  <c r="I418" i="1"/>
  <c r="J80" i="1"/>
  <c r="J86" i="1"/>
  <c r="J306" i="1"/>
  <c r="J374" i="1"/>
  <c r="N383" i="1"/>
  <c r="J394" i="1"/>
  <c r="J398" i="1"/>
  <c r="N401" i="1"/>
  <c r="J421" i="1"/>
  <c r="J427" i="1"/>
  <c r="J434" i="1"/>
  <c r="J446" i="1"/>
  <c r="J450" i="1"/>
  <c r="N456" i="1"/>
  <c r="J476" i="1"/>
  <c r="J479" i="1"/>
  <c r="N571" i="1"/>
  <c r="I620" i="1"/>
  <c r="P254" i="3"/>
  <c r="K81" i="6"/>
  <c r="O457" i="9"/>
  <c r="K189" i="15"/>
  <c r="K93" i="18"/>
  <c r="K112" i="18"/>
  <c r="M120" i="18"/>
  <c r="M118" i="18" s="1"/>
  <c r="P118" i="18" s="1"/>
  <c r="K265" i="18"/>
  <c r="L275" i="18"/>
  <c r="O275" i="18" s="1"/>
  <c r="K306" i="18"/>
  <c r="K397" i="18"/>
  <c r="K401" i="18"/>
  <c r="O406" i="18"/>
  <c r="K420" i="18"/>
  <c r="K426" i="18"/>
  <c r="K432" i="18"/>
  <c r="O435" i="18"/>
  <c r="K593" i="18"/>
  <c r="N588" i="1"/>
  <c r="N665" i="1"/>
  <c r="I512" i="1"/>
  <c r="K512" i="1" s="1"/>
  <c r="J83" i="1"/>
  <c r="L58" i="1"/>
  <c r="J194" i="1"/>
  <c r="I204" i="1"/>
  <c r="N279" i="1"/>
  <c r="J285" i="1"/>
  <c r="J341" i="1"/>
  <c r="I375" i="1"/>
  <c r="K631" i="8"/>
  <c r="L24" i="11"/>
  <c r="O24" i="11" s="1"/>
  <c r="K80" i="11"/>
  <c r="L314" i="11"/>
  <c r="O314" i="11" s="1"/>
  <c r="L98" i="12"/>
  <c r="K173" i="12"/>
  <c r="K634" i="12"/>
  <c r="O354" i="14"/>
  <c r="N33" i="14"/>
  <c r="N13" i="14" s="1"/>
  <c r="K65" i="16"/>
  <c r="N580" i="1"/>
  <c r="J90" i="1"/>
  <c r="J301" i="1"/>
  <c r="I597" i="1"/>
  <c r="J130" i="1"/>
  <c r="J173" i="1"/>
  <c r="L255" i="1"/>
  <c r="K270" i="2"/>
  <c r="I513" i="1"/>
  <c r="K513" i="1" s="1"/>
  <c r="I516" i="1"/>
  <c r="I519" i="1"/>
  <c r="I522" i="1"/>
  <c r="K551" i="2"/>
  <c r="O553" i="2"/>
  <c r="K345" i="3"/>
  <c r="P144" i="4"/>
  <c r="K149" i="4"/>
  <c r="K328" i="4"/>
  <c r="K92" i="5"/>
  <c r="L144" i="6"/>
  <c r="O144" i="6" s="1"/>
  <c r="N55" i="9"/>
  <c r="P55" i="9" s="1"/>
  <c r="O582" i="9"/>
  <c r="K593" i="9"/>
  <c r="K628" i="9"/>
  <c r="K631" i="9"/>
  <c r="K634" i="9"/>
  <c r="N331" i="11"/>
  <c r="N329" i="11" s="1"/>
  <c r="L70" i="12"/>
  <c r="O70" i="12" s="1"/>
  <c r="K111" i="12"/>
  <c r="K370" i="12"/>
  <c r="K376" i="12"/>
  <c r="K593" i="13"/>
  <c r="O601" i="13"/>
  <c r="K370" i="14"/>
  <c r="O435" i="14"/>
  <c r="N331" i="16"/>
  <c r="K631" i="16"/>
  <c r="K368" i="18"/>
  <c r="O380" i="18"/>
  <c r="K398" i="18"/>
  <c r="K597" i="18"/>
  <c r="I560" i="1"/>
  <c r="J283" i="1"/>
  <c r="J514" i="1"/>
  <c r="N388" i="1"/>
  <c r="I396" i="1"/>
  <c r="I419" i="1"/>
  <c r="I422" i="1"/>
  <c r="I213" i="1"/>
  <c r="J212" i="1"/>
  <c r="J216" i="1"/>
  <c r="P314" i="3"/>
  <c r="M312" i="3"/>
  <c r="P312" i="3" s="1"/>
  <c r="J320" i="1"/>
  <c r="L383" i="1"/>
  <c r="J672" i="1"/>
  <c r="P314" i="6"/>
  <c r="M312" i="6"/>
  <c r="M310" i="6" s="1"/>
  <c r="P310" i="6" s="1"/>
  <c r="L567" i="1"/>
  <c r="O567" i="1" s="1"/>
  <c r="J85" i="1"/>
  <c r="J182" i="1"/>
  <c r="J186" i="1"/>
  <c r="J204" i="1"/>
  <c r="N535" i="1"/>
  <c r="N539" i="1"/>
  <c r="J365" i="1"/>
  <c r="I110" i="1"/>
  <c r="L552" i="1"/>
  <c r="O552" i="1" s="1"/>
  <c r="N275" i="1"/>
  <c r="J422" i="1"/>
  <c r="J428" i="1"/>
  <c r="J431" i="1"/>
  <c r="N437" i="1"/>
  <c r="N441" i="1"/>
  <c r="J448" i="1"/>
  <c r="J455" i="1"/>
  <c r="N461" i="1"/>
  <c r="J465" i="1"/>
  <c r="J468" i="1"/>
  <c r="J471" i="1"/>
  <c r="J480" i="1"/>
  <c r="J501" i="1"/>
  <c r="J504" i="1"/>
  <c r="J507" i="1"/>
  <c r="M49" i="11"/>
  <c r="O49" i="11"/>
  <c r="J378" i="1"/>
  <c r="K560" i="2"/>
  <c r="J617" i="1"/>
  <c r="N312" i="3"/>
  <c r="N310" i="3" s="1"/>
  <c r="O564" i="3"/>
  <c r="J269" i="1"/>
  <c r="J668" i="1"/>
  <c r="N55" i="6"/>
  <c r="P55" i="6" s="1"/>
  <c r="K199" i="7"/>
  <c r="K418" i="7"/>
  <c r="K421" i="7"/>
  <c r="K424" i="7"/>
  <c r="K430" i="7"/>
  <c r="M312" i="8"/>
  <c r="M310" i="8" s="1"/>
  <c r="P310" i="8" s="1"/>
  <c r="L57" i="12"/>
  <c r="L55" i="12" s="1"/>
  <c r="L53" i="12" s="1"/>
  <c r="L70" i="14"/>
  <c r="O70" i="14" s="1"/>
  <c r="K117" i="15"/>
  <c r="K199" i="15"/>
  <c r="L314" i="15"/>
  <c r="L312" i="15" s="1"/>
  <c r="K620" i="15"/>
  <c r="N120" i="17"/>
  <c r="N118" i="17" s="1"/>
  <c r="K328" i="17"/>
  <c r="K633" i="17"/>
  <c r="K663" i="18"/>
  <c r="I525" i="1"/>
  <c r="I528" i="1"/>
  <c r="I531" i="1"/>
  <c r="L533" i="1"/>
  <c r="O533" i="1" s="1"/>
  <c r="N556" i="1"/>
  <c r="I561" i="1"/>
  <c r="K431" i="3"/>
  <c r="K435" i="3"/>
  <c r="K473" i="3"/>
  <c r="J488" i="1"/>
  <c r="J107" i="1"/>
  <c r="K473" i="4"/>
  <c r="N43" i="5"/>
  <c r="P43" i="5" s="1"/>
  <c r="N312" i="5"/>
  <c r="N310" i="5" s="1"/>
  <c r="O437" i="5"/>
  <c r="K265" i="6"/>
  <c r="K158" i="8"/>
  <c r="K173" i="10"/>
  <c r="K200" i="10"/>
  <c r="N68" i="11"/>
  <c r="N66" i="11" s="1"/>
  <c r="N252" i="11"/>
  <c r="N250" i="11" s="1"/>
  <c r="L294" i="11"/>
  <c r="L292" i="11" s="1"/>
  <c r="L290" i="11" s="1"/>
  <c r="O290" i="11" s="1"/>
  <c r="N292" i="12"/>
  <c r="N290" i="12" s="1"/>
  <c r="O352" i="13"/>
  <c r="O333" i="14"/>
  <c r="O349" i="14"/>
  <c r="K349" i="15"/>
  <c r="O354" i="15"/>
  <c r="N68" i="16"/>
  <c r="N66" i="16" s="1"/>
  <c r="K420" i="2"/>
  <c r="L254" i="3"/>
  <c r="O254" i="3" s="1"/>
  <c r="K199" i="4"/>
  <c r="J651" i="10"/>
  <c r="K201" i="11"/>
  <c r="K270" i="11"/>
  <c r="L294" i="12"/>
  <c r="O294" i="12" s="1"/>
  <c r="M96" i="13"/>
  <c r="M94" i="13" s="1"/>
  <c r="P94" i="13" s="1"/>
  <c r="K110" i="14"/>
  <c r="K628" i="16"/>
  <c r="K564" i="18"/>
  <c r="N455" i="1"/>
  <c r="N458" i="1"/>
  <c r="N463" i="1"/>
  <c r="J466" i="1"/>
  <c r="J472" i="1"/>
  <c r="J481" i="1"/>
  <c r="J487" i="1"/>
  <c r="J490" i="1"/>
  <c r="I625" i="1"/>
  <c r="J229" i="1"/>
  <c r="J235" i="1"/>
  <c r="J660" i="1"/>
  <c r="K349" i="4"/>
  <c r="K481" i="5"/>
  <c r="K421" i="8"/>
  <c r="K424" i="8"/>
  <c r="K427" i="8"/>
  <c r="K430" i="8"/>
  <c r="I367" i="9"/>
  <c r="K367" i="9" s="1"/>
  <c r="K560" i="10"/>
  <c r="L45" i="11"/>
  <c r="L43" i="11" s="1"/>
  <c r="L41" i="11" s="1"/>
  <c r="K634" i="11"/>
  <c r="L275" i="13"/>
  <c r="L273" i="13" s="1"/>
  <c r="K482" i="13"/>
  <c r="K497" i="13"/>
  <c r="L254" i="14"/>
  <c r="O254" i="14" s="1"/>
  <c r="K418" i="14"/>
  <c r="K417" i="15"/>
  <c r="K424" i="16"/>
  <c r="K427" i="16"/>
  <c r="K430" i="16"/>
  <c r="L254" i="18"/>
  <c r="L252" i="18" s="1"/>
  <c r="L250" i="18" s="1"/>
  <c r="L401" i="1"/>
  <c r="N407" i="1"/>
  <c r="K421" i="2"/>
  <c r="O439" i="2"/>
  <c r="I450" i="1"/>
  <c r="L59" i="1"/>
  <c r="I199" i="1"/>
  <c r="N406" i="1"/>
  <c r="J432" i="1"/>
  <c r="O455" i="3"/>
  <c r="L537" i="1"/>
  <c r="N601" i="1"/>
  <c r="J612" i="1"/>
  <c r="J615" i="1"/>
  <c r="J618" i="1"/>
  <c r="J621" i="1"/>
  <c r="J647" i="1"/>
  <c r="J649" i="1"/>
  <c r="L45" i="4"/>
  <c r="O45" i="4" s="1"/>
  <c r="P98" i="4"/>
  <c r="K109" i="4"/>
  <c r="K112" i="4"/>
  <c r="K380" i="4"/>
  <c r="K397" i="4"/>
  <c r="K423" i="4"/>
  <c r="K593" i="4"/>
  <c r="K631" i="4"/>
  <c r="K649" i="4"/>
  <c r="L333" i="5"/>
  <c r="K340" i="5"/>
  <c r="K621" i="5"/>
  <c r="O383" i="6"/>
  <c r="K398" i="6"/>
  <c r="O401" i="6"/>
  <c r="O404" i="6"/>
  <c r="K450" i="6"/>
  <c r="K533" i="6"/>
  <c r="O535" i="6"/>
  <c r="K650" i="6"/>
  <c r="P224" i="7"/>
  <c r="K229" i="7"/>
  <c r="K235" i="7"/>
  <c r="L122" i="8"/>
  <c r="L120" i="8" s="1"/>
  <c r="O347" i="8"/>
  <c r="N43" i="9"/>
  <c r="N41" i="9" s="1"/>
  <c r="O347" i="9"/>
  <c r="K421" i="9"/>
  <c r="K424" i="9"/>
  <c r="O459" i="9"/>
  <c r="O537" i="9"/>
  <c r="K416" i="10"/>
  <c r="K419" i="10"/>
  <c r="K425" i="10"/>
  <c r="L32" i="10"/>
  <c r="L30" i="10" s="1"/>
  <c r="K573" i="10"/>
  <c r="K580" i="10"/>
  <c r="O582" i="10"/>
  <c r="K593" i="10"/>
  <c r="O601" i="10"/>
  <c r="K631" i="10"/>
  <c r="K199" i="13"/>
  <c r="K589" i="13"/>
  <c r="K595" i="13"/>
  <c r="N43" i="14"/>
  <c r="N41" i="14" s="1"/>
  <c r="K422" i="14"/>
  <c r="K425" i="14"/>
  <c r="O439" i="14"/>
  <c r="K450" i="14"/>
  <c r="K464" i="14"/>
  <c r="L254" i="15"/>
  <c r="L252" i="15" s="1"/>
  <c r="K285" i="15"/>
  <c r="K418" i="15"/>
  <c r="K424" i="15"/>
  <c r="K375" i="16"/>
  <c r="K381" i="16"/>
  <c r="K497" i="16"/>
  <c r="O535" i="16"/>
  <c r="L45" i="17"/>
  <c r="L43" i="17" s="1"/>
  <c r="L41" i="17" s="1"/>
  <c r="J651" i="18"/>
  <c r="K651" i="18" s="1"/>
  <c r="J671" i="18"/>
  <c r="K671" i="18" s="1"/>
  <c r="I215" i="1"/>
  <c r="I480" i="1"/>
  <c r="K480" i="1" s="1"/>
  <c r="I551" i="1"/>
  <c r="N43" i="2"/>
  <c r="P43" i="2" s="1"/>
  <c r="J174" i="1"/>
  <c r="M275" i="1"/>
  <c r="L295" i="1"/>
  <c r="J302" i="1"/>
  <c r="L316" i="1"/>
  <c r="J323" i="1"/>
  <c r="J340" i="1"/>
  <c r="J343" i="1"/>
  <c r="K343" i="1" s="1"/>
  <c r="J346" i="1"/>
  <c r="N352" i="1"/>
  <c r="N356" i="1"/>
  <c r="J363" i="1"/>
  <c r="I374" i="1"/>
  <c r="N403" i="1"/>
  <c r="K423" i="2"/>
  <c r="O435" i="2"/>
  <c r="I487" i="1"/>
  <c r="K487" i="1" s="1"/>
  <c r="N43" i="3"/>
  <c r="N41" i="3" s="1"/>
  <c r="P41" i="3" s="1"/>
  <c r="N68" i="3"/>
  <c r="N66" i="3" s="1"/>
  <c r="N96" i="3"/>
  <c r="N94" i="3" s="1"/>
  <c r="K149" i="3"/>
  <c r="K398" i="3"/>
  <c r="O401" i="3"/>
  <c r="K499" i="3"/>
  <c r="I591" i="1"/>
  <c r="K597" i="3"/>
  <c r="K219" i="4"/>
  <c r="K266" i="4"/>
  <c r="I350" i="1"/>
  <c r="O385" i="13"/>
  <c r="L34" i="13"/>
  <c r="M312" i="11"/>
  <c r="P314" i="11"/>
  <c r="L671" i="1"/>
  <c r="N148" i="1"/>
  <c r="J219" i="1"/>
  <c r="I235" i="1"/>
  <c r="L296" i="1"/>
  <c r="J303" i="1"/>
  <c r="I341" i="1"/>
  <c r="K341" i="1" s="1"/>
  <c r="J493" i="1"/>
  <c r="J593" i="1"/>
  <c r="N598" i="1"/>
  <c r="N650" i="1"/>
  <c r="J674" i="1"/>
  <c r="N273" i="5"/>
  <c r="N271" i="5" s="1"/>
  <c r="P271" i="5" s="1"/>
  <c r="L551" i="1"/>
  <c r="I88" i="1"/>
  <c r="I201" i="1"/>
  <c r="I470" i="1"/>
  <c r="K470" i="1" s="1"/>
  <c r="I590" i="1"/>
  <c r="K590" i="1" s="1"/>
  <c r="J78" i="1"/>
  <c r="N258" i="1"/>
  <c r="M292" i="2"/>
  <c r="L459" i="1"/>
  <c r="I473" i="1"/>
  <c r="I485" i="1"/>
  <c r="K485" i="1" s="1"/>
  <c r="J517" i="1"/>
  <c r="J520" i="1"/>
  <c r="I500" i="1"/>
  <c r="K500" i="1" s="1"/>
  <c r="L565" i="1"/>
  <c r="O565" i="1" s="1"/>
  <c r="I289" i="1"/>
  <c r="I370" i="1"/>
  <c r="K370" i="1" s="1"/>
  <c r="I502" i="1"/>
  <c r="K502" i="1" s="1"/>
  <c r="M96" i="2"/>
  <c r="M94" i="2" s="1"/>
  <c r="P94" i="2" s="1"/>
  <c r="N120" i="2"/>
  <c r="P120" i="2" s="1"/>
  <c r="J289" i="1"/>
  <c r="J372" i="1"/>
  <c r="K372" i="1" s="1"/>
  <c r="K396" i="2"/>
  <c r="N436" i="1"/>
  <c r="J622" i="1"/>
  <c r="O74" i="3"/>
  <c r="K80" i="3"/>
  <c r="K110" i="3"/>
  <c r="J218" i="1"/>
  <c r="N252" i="3"/>
  <c r="N250" i="3" s="1"/>
  <c r="J284" i="1"/>
  <c r="N410" i="1"/>
  <c r="K416" i="3"/>
  <c r="K419" i="3"/>
  <c r="K186" i="4"/>
  <c r="K200" i="4"/>
  <c r="K204" i="4"/>
  <c r="K213" i="4"/>
  <c r="N273" i="4"/>
  <c r="N271" i="4" s="1"/>
  <c r="P271" i="4" s="1"/>
  <c r="K370" i="4"/>
  <c r="I346" i="1"/>
  <c r="K346" i="1" s="1"/>
  <c r="I504" i="1"/>
  <c r="K504" i="1" s="1"/>
  <c r="N254" i="1"/>
  <c r="J265" i="1"/>
  <c r="N314" i="1"/>
  <c r="J361" i="1"/>
  <c r="J366" i="1"/>
  <c r="J381" i="1"/>
  <c r="I425" i="1"/>
  <c r="I431" i="1"/>
  <c r="O437" i="2"/>
  <c r="I451" i="1"/>
  <c r="N460" i="1"/>
  <c r="I465" i="1"/>
  <c r="K465" i="1" s="1"/>
  <c r="I471" i="1"/>
  <c r="K471" i="1" s="1"/>
  <c r="I495" i="1"/>
  <c r="K495" i="1" s="1"/>
  <c r="I501" i="1"/>
  <c r="K501" i="1" s="1"/>
  <c r="I507" i="1"/>
  <c r="K507" i="1" s="1"/>
  <c r="J512" i="1"/>
  <c r="J515" i="1"/>
  <c r="J518" i="1"/>
  <c r="J521" i="1"/>
  <c r="J524" i="1"/>
  <c r="J527" i="1"/>
  <c r="J530" i="1"/>
  <c r="J533" i="1"/>
  <c r="J546" i="1"/>
  <c r="N552" i="1"/>
  <c r="N555" i="1"/>
  <c r="O584" i="2"/>
  <c r="I617" i="1"/>
  <c r="K633" i="2"/>
  <c r="K219" i="3"/>
  <c r="P224" i="3"/>
  <c r="K266" i="3"/>
  <c r="K285" i="3"/>
  <c r="K397" i="3"/>
  <c r="K429" i="3"/>
  <c r="K65" i="4"/>
  <c r="K86" i="4"/>
  <c r="K110" i="4"/>
  <c r="K113" i="4"/>
  <c r="L333" i="4"/>
  <c r="O333" i="4" s="1"/>
  <c r="P98" i="11"/>
  <c r="M96" i="11"/>
  <c r="P96" i="11" s="1"/>
  <c r="J653" i="1"/>
  <c r="P275" i="5"/>
  <c r="P57" i="6"/>
  <c r="K80" i="6"/>
  <c r="K285" i="6"/>
  <c r="K397" i="6"/>
  <c r="J413" i="1"/>
  <c r="J426" i="1"/>
  <c r="K426" i="1" s="1"/>
  <c r="N435" i="1"/>
  <c r="K597" i="6"/>
  <c r="J635" i="1"/>
  <c r="O665" i="6"/>
  <c r="K270" i="7"/>
  <c r="N318" i="1"/>
  <c r="K397" i="7"/>
  <c r="K401" i="7"/>
  <c r="K426" i="7"/>
  <c r="N586" i="1"/>
  <c r="K133" i="8"/>
  <c r="O349" i="9"/>
  <c r="J579" i="1"/>
  <c r="N581" i="1"/>
  <c r="N584" i="1"/>
  <c r="J592" i="1"/>
  <c r="K595" i="9"/>
  <c r="N597" i="1"/>
  <c r="J614" i="1"/>
  <c r="K630" i="9"/>
  <c r="J652" i="1"/>
  <c r="J659" i="1"/>
  <c r="J669" i="1"/>
  <c r="K465" i="10"/>
  <c r="K84" i="11"/>
  <c r="K117" i="11"/>
  <c r="K132" i="11"/>
  <c r="K138" i="11"/>
  <c r="K285" i="11"/>
  <c r="N312" i="11"/>
  <c r="N310" i="11" s="1"/>
  <c r="K343" i="11"/>
  <c r="K419" i="11"/>
  <c r="O457" i="11"/>
  <c r="O564" i="12"/>
  <c r="O599" i="12"/>
  <c r="K580" i="13"/>
  <c r="K417" i="14"/>
  <c r="K420" i="15"/>
  <c r="K663" i="15"/>
  <c r="L45" i="16"/>
  <c r="O45" i="16" s="1"/>
  <c r="K551" i="17"/>
  <c r="N32" i="17"/>
  <c r="N30" i="17" s="1"/>
  <c r="L57" i="18"/>
  <c r="L55" i="18" s="1"/>
  <c r="K110" i="18"/>
  <c r="K249" i="18"/>
  <c r="K380" i="18"/>
  <c r="K419" i="18"/>
  <c r="K431" i="18"/>
  <c r="K219" i="5"/>
  <c r="K375" i="8"/>
  <c r="N68" i="9"/>
  <c r="N66" i="9" s="1"/>
  <c r="N292" i="9"/>
  <c r="N290" i="9" s="1"/>
  <c r="N312" i="9"/>
  <c r="N310" i="9" s="1"/>
  <c r="N292" i="10"/>
  <c r="N290" i="10" s="1"/>
  <c r="N120" i="11"/>
  <c r="P275" i="11"/>
  <c r="O337" i="11"/>
  <c r="N120" i="12"/>
  <c r="N118" i="12" s="1"/>
  <c r="N142" i="12"/>
  <c r="N140" i="12" s="1"/>
  <c r="P333" i="12"/>
  <c r="K416" i="12"/>
  <c r="K235" i="13"/>
  <c r="K634" i="13"/>
  <c r="K498" i="14"/>
  <c r="J651" i="17"/>
  <c r="O537" i="18"/>
  <c r="O580" i="18"/>
  <c r="K628" i="18"/>
  <c r="K631" i="18"/>
  <c r="K634" i="18"/>
  <c r="O661" i="4"/>
  <c r="L57" i="5"/>
  <c r="L55" i="5" s="1"/>
  <c r="L53" i="5" s="1"/>
  <c r="K235" i="5"/>
  <c r="O401" i="5"/>
  <c r="O102" i="6"/>
  <c r="K108" i="6"/>
  <c r="K341" i="6"/>
  <c r="K421" i="6"/>
  <c r="L57" i="7"/>
  <c r="O57" i="7" s="1"/>
  <c r="K65" i="7"/>
  <c r="K368" i="7"/>
  <c r="O455" i="7"/>
  <c r="K108" i="8"/>
  <c r="K201" i="8"/>
  <c r="P254" i="8"/>
  <c r="K189" i="9"/>
  <c r="K199" i="9"/>
  <c r="L294" i="9"/>
  <c r="O294" i="9" s="1"/>
  <c r="L314" i="9"/>
  <c r="L312" i="9" s="1"/>
  <c r="K381" i="9"/>
  <c r="K499" i="9"/>
  <c r="L314" i="10"/>
  <c r="L312" i="10" s="1"/>
  <c r="K423" i="10"/>
  <c r="M292" i="11"/>
  <c r="P292" i="11" s="1"/>
  <c r="K429" i="11"/>
  <c r="N26" i="12"/>
  <c r="N16" i="12" s="1"/>
  <c r="L314" i="13"/>
  <c r="O314" i="13" s="1"/>
  <c r="K564" i="13"/>
  <c r="O580" i="13"/>
  <c r="L144" i="14"/>
  <c r="K426" i="14"/>
  <c r="K430" i="15"/>
  <c r="O459" i="15"/>
  <c r="K481" i="15"/>
  <c r="O349" i="16"/>
  <c r="K397" i="16"/>
  <c r="K465" i="16"/>
  <c r="J671" i="16"/>
  <c r="L122" i="17"/>
  <c r="O122" i="17" s="1"/>
  <c r="K185" i="17"/>
  <c r="K189" i="17"/>
  <c r="L333" i="17"/>
  <c r="K499" i="17"/>
  <c r="K499" i="4"/>
  <c r="K158" i="5"/>
  <c r="K81" i="8"/>
  <c r="K138" i="8"/>
  <c r="L254" i="8"/>
  <c r="K266" i="8"/>
  <c r="K270" i="8"/>
  <c r="K466" i="11"/>
  <c r="K481" i="11"/>
  <c r="K343" i="12"/>
  <c r="K401" i="12"/>
  <c r="O406" i="12"/>
  <c r="K533" i="15"/>
  <c r="L98" i="16"/>
  <c r="O98" i="16" s="1"/>
  <c r="P144" i="16"/>
  <c r="O533" i="16"/>
  <c r="O568" i="16"/>
  <c r="K633" i="16"/>
  <c r="O661" i="16"/>
  <c r="K497" i="17"/>
  <c r="K560" i="17"/>
  <c r="L122" i="18"/>
  <c r="O122" i="18" s="1"/>
  <c r="K229" i="18"/>
  <c r="K235" i="18"/>
  <c r="O401" i="18"/>
  <c r="O404" i="18"/>
  <c r="K418" i="18"/>
  <c r="K430" i="18"/>
  <c r="O661" i="18"/>
  <c r="K396" i="4"/>
  <c r="K402" i="4"/>
  <c r="K425" i="4"/>
  <c r="O437" i="4"/>
  <c r="O457" i="4"/>
  <c r="O564" i="4"/>
  <c r="L45" i="5"/>
  <c r="L43" i="5" s="1"/>
  <c r="K200" i="5"/>
  <c r="K285" i="5"/>
  <c r="K345" i="5"/>
  <c r="O385" i="5"/>
  <c r="K397" i="5"/>
  <c r="K164" i="6"/>
  <c r="K173" i="6"/>
  <c r="L275" i="6"/>
  <c r="O275" i="6" s="1"/>
  <c r="K328" i="6"/>
  <c r="K465" i="6"/>
  <c r="K164" i="7"/>
  <c r="K93" i="8"/>
  <c r="P98" i="8"/>
  <c r="K109" i="8"/>
  <c r="K112" i="8"/>
  <c r="N31" i="8"/>
  <c r="N11" i="8" s="1"/>
  <c r="N9" i="8" s="1"/>
  <c r="O455" i="8"/>
  <c r="O597" i="8"/>
  <c r="K630" i="8"/>
  <c r="K633" i="8"/>
  <c r="L144" i="9"/>
  <c r="L142" i="9" s="1"/>
  <c r="L140" i="9" s="1"/>
  <c r="K164" i="9"/>
  <c r="K173" i="9"/>
  <c r="K200" i="9"/>
  <c r="O665" i="9"/>
  <c r="O668" i="9"/>
  <c r="K201" i="10"/>
  <c r="O380" i="10"/>
  <c r="K81" i="11"/>
  <c r="J651" i="11"/>
  <c r="K117" i="12"/>
  <c r="O401" i="12"/>
  <c r="O439" i="12"/>
  <c r="K450" i="12"/>
  <c r="L144" i="13"/>
  <c r="L142" i="13" s="1"/>
  <c r="L254" i="13"/>
  <c r="O254" i="13" s="1"/>
  <c r="K533" i="13"/>
  <c r="O535" i="13"/>
  <c r="L57" i="14"/>
  <c r="O57" i="14" s="1"/>
  <c r="O537" i="14"/>
  <c r="K564" i="14"/>
  <c r="O566" i="14"/>
  <c r="K628" i="14"/>
  <c r="K631" i="14"/>
  <c r="O437" i="15"/>
  <c r="K455" i="15"/>
  <c r="O457" i="15"/>
  <c r="O347" i="16"/>
  <c r="O401" i="16"/>
  <c r="O582" i="16"/>
  <c r="O651" i="16"/>
  <c r="K200" i="17"/>
  <c r="K381" i="17"/>
  <c r="K396" i="17"/>
  <c r="K416" i="17"/>
  <c r="K419" i="17"/>
  <c r="K422" i="17"/>
  <c r="K425" i="17"/>
  <c r="K428" i="17"/>
  <c r="K431" i="17"/>
  <c r="K435" i="17"/>
  <c r="O437" i="17"/>
  <c r="K455" i="17"/>
  <c r="K597" i="17"/>
  <c r="O599" i="17"/>
  <c r="O650" i="17"/>
  <c r="P49" i="8"/>
  <c r="M43" i="8"/>
  <c r="M41" i="8" s="1"/>
  <c r="J328" i="1"/>
  <c r="M45" i="1"/>
  <c r="P45" i="1" s="1"/>
  <c r="K229" i="2"/>
  <c r="J417" i="1"/>
  <c r="N564" i="1"/>
  <c r="N572" i="1"/>
  <c r="K625" i="2"/>
  <c r="K626" i="2"/>
  <c r="K620" i="2"/>
  <c r="I64" i="1"/>
  <c r="I593" i="1"/>
  <c r="K593" i="1" s="1"/>
  <c r="I663" i="1"/>
  <c r="J114" i="1"/>
  <c r="N142" i="2"/>
  <c r="N140" i="2" s="1"/>
  <c r="I309" i="1"/>
  <c r="O404" i="2"/>
  <c r="K495" i="2"/>
  <c r="L437" i="1"/>
  <c r="O437" i="1" s="1"/>
  <c r="I596" i="1"/>
  <c r="K596" i="1" s="1"/>
  <c r="J630" i="1"/>
  <c r="L665" i="1"/>
  <c r="N331" i="2"/>
  <c r="N329" i="2" s="1"/>
  <c r="N443" i="1"/>
  <c r="J449" i="1"/>
  <c r="J469" i="1"/>
  <c r="N32" i="4"/>
  <c r="N30" i="4" s="1"/>
  <c r="I468" i="1"/>
  <c r="K468" i="1" s="1"/>
  <c r="I486" i="1"/>
  <c r="K486" i="1" s="1"/>
  <c r="I479" i="1"/>
  <c r="K479" i="1" s="1"/>
  <c r="J667" i="1"/>
  <c r="J670" i="1"/>
  <c r="P224" i="10"/>
  <c r="M222" i="10"/>
  <c r="L49" i="1"/>
  <c r="N55" i="2"/>
  <c r="P55" i="2" s="1"/>
  <c r="K219" i="2"/>
  <c r="J238" i="1"/>
  <c r="L254" i="2"/>
  <c r="L252" i="2" s="1"/>
  <c r="O252" i="2" s="1"/>
  <c r="L333" i="2"/>
  <c r="K340" i="2"/>
  <c r="K428" i="2"/>
  <c r="J473" i="1"/>
  <c r="I509" i="1"/>
  <c r="K509" i="1" s="1"/>
  <c r="M250" i="8"/>
  <c r="I491" i="1"/>
  <c r="K491" i="1" s="1"/>
  <c r="I499" i="1"/>
  <c r="J513" i="1"/>
  <c r="L568" i="1"/>
  <c r="J589" i="1"/>
  <c r="J595" i="1"/>
  <c r="N600" i="1"/>
  <c r="I623" i="1"/>
  <c r="J629" i="1"/>
  <c r="J632" i="1"/>
  <c r="O45" i="3"/>
  <c r="J309" i="1"/>
  <c r="J371" i="1"/>
  <c r="O385" i="3"/>
  <c r="I498" i="1"/>
  <c r="N49" i="1"/>
  <c r="K93" i="4"/>
  <c r="I138" i="1"/>
  <c r="J369" i="1"/>
  <c r="J379" i="1"/>
  <c r="K419" i="4"/>
  <c r="K450" i="4"/>
  <c r="J494" i="1"/>
  <c r="K497" i="4"/>
  <c r="O45" i="5"/>
  <c r="K328" i="5"/>
  <c r="K422" i="5"/>
  <c r="L597" i="1"/>
  <c r="N602" i="1"/>
  <c r="J609" i="1"/>
  <c r="I616" i="1"/>
  <c r="L57" i="6"/>
  <c r="L55" i="6" s="1"/>
  <c r="K113" i="6"/>
  <c r="L314" i="6"/>
  <c r="K427" i="6"/>
  <c r="M43" i="7"/>
  <c r="M41" i="7" s="1"/>
  <c r="I158" i="1"/>
  <c r="K189" i="7"/>
  <c r="I376" i="1"/>
  <c r="I380" i="1"/>
  <c r="J416" i="1"/>
  <c r="K419" i="7"/>
  <c r="K428" i="7"/>
  <c r="K435" i="7"/>
  <c r="L70" i="8"/>
  <c r="L68" i="8" s="1"/>
  <c r="N252" i="8"/>
  <c r="P252" i="8" s="1"/>
  <c r="K341" i="9"/>
  <c r="K199" i="10"/>
  <c r="N222" i="10"/>
  <c r="N220" i="10" s="1"/>
  <c r="I477" i="1"/>
  <c r="K477" i="1" s="1"/>
  <c r="I483" i="1"/>
  <c r="K483" i="1" s="1"/>
  <c r="J491" i="1"/>
  <c r="I497" i="1"/>
  <c r="I511" i="1"/>
  <c r="K511" i="1" s="1"/>
  <c r="O537" i="2"/>
  <c r="J543" i="1"/>
  <c r="N557" i="1"/>
  <c r="J561" i="1"/>
  <c r="N568" i="1"/>
  <c r="J573" i="1"/>
  <c r="J577" i="1"/>
  <c r="O582" i="2"/>
  <c r="O601" i="2"/>
  <c r="J648" i="1"/>
  <c r="L651" i="1"/>
  <c r="K138" i="3"/>
  <c r="N142" i="3"/>
  <c r="N140" i="3" s="1"/>
  <c r="J189" i="1"/>
  <c r="K199" i="3"/>
  <c r="N273" i="3"/>
  <c r="P273" i="3" s="1"/>
  <c r="N292" i="3"/>
  <c r="N290" i="3" s="1"/>
  <c r="J435" i="1"/>
  <c r="J482" i="1"/>
  <c r="N567" i="1"/>
  <c r="K618" i="3"/>
  <c r="N68" i="5"/>
  <c r="N66" i="5" s="1"/>
  <c r="K189" i="5"/>
  <c r="N252" i="5"/>
  <c r="N250" i="5" s="1"/>
  <c r="N292" i="5"/>
  <c r="N290" i="5" s="1"/>
  <c r="J671" i="5"/>
  <c r="N43" i="6"/>
  <c r="P43" i="6" s="1"/>
  <c r="N120" i="7"/>
  <c r="N118" i="7" s="1"/>
  <c r="N142" i="7"/>
  <c r="N140" i="7" s="1"/>
  <c r="N292" i="7"/>
  <c r="N290" i="7" s="1"/>
  <c r="N312" i="7"/>
  <c r="N310" i="7" s="1"/>
  <c r="J671" i="7"/>
  <c r="O650" i="9"/>
  <c r="N142" i="10"/>
  <c r="N140" i="10" s="1"/>
  <c r="L144" i="11"/>
  <c r="O144" i="11" s="1"/>
  <c r="N33" i="12"/>
  <c r="N13" i="12" s="1"/>
  <c r="J523" i="1"/>
  <c r="J526" i="1"/>
  <c r="J529" i="1"/>
  <c r="J532" i="1"/>
  <c r="N537" i="1"/>
  <c r="O537" i="1" s="1"/>
  <c r="J544" i="1"/>
  <c r="J548" i="1"/>
  <c r="L566" i="1"/>
  <c r="N569" i="1"/>
  <c r="I575" i="1"/>
  <c r="K575" i="1" s="1"/>
  <c r="J590" i="1"/>
  <c r="I621" i="1"/>
  <c r="J633" i="1"/>
  <c r="J658" i="1"/>
  <c r="L668" i="1"/>
  <c r="J128" i="1"/>
  <c r="J158" i="1"/>
  <c r="I164" i="1"/>
  <c r="M252" i="3"/>
  <c r="P275" i="3"/>
  <c r="I349" i="1"/>
  <c r="L31" i="3"/>
  <c r="O31" i="3" s="1"/>
  <c r="J547" i="1"/>
  <c r="N553" i="1"/>
  <c r="K611" i="3"/>
  <c r="K621" i="3"/>
  <c r="L98" i="4"/>
  <c r="L96" i="4" s="1"/>
  <c r="K324" i="4"/>
  <c r="K343" i="4"/>
  <c r="O349" i="4"/>
  <c r="O385" i="4"/>
  <c r="J651" i="4"/>
  <c r="K651" i="4" s="1"/>
  <c r="N26" i="5"/>
  <c r="N16" i="5" s="1"/>
  <c r="M96" i="5"/>
  <c r="M94" i="5" s="1"/>
  <c r="N142" i="5"/>
  <c r="N140" i="5" s="1"/>
  <c r="K149" i="5"/>
  <c r="K455" i="5"/>
  <c r="O568" i="5"/>
  <c r="O568" i="6"/>
  <c r="N55" i="7"/>
  <c r="N53" i="7" s="1"/>
  <c r="K92" i="7"/>
  <c r="L98" i="7"/>
  <c r="O98" i="7" s="1"/>
  <c r="N252" i="7"/>
  <c r="N250" i="7" s="1"/>
  <c r="N273" i="7"/>
  <c r="N271" i="7" s="1"/>
  <c r="K285" i="7"/>
  <c r="O457" i="7"/>
  <c r="K591" i="7"/>
  <c r="O601" i="7"/>
  <c r="J651" i="7"/>
  <c r="N55" i="8"/>
  <c r="N53" i="8" s="1"/>
  <c r="N68" i="8"/>
  <c r="N66" i="8" s="1"/>
  <c r="N222" i="8"/>
  <c r="N220" i="8" s="1"/>
  <c r="K350" i="8"/>
  <c r="K497" i="9"/>
  <c r="N252" i="10"/>
  <c r="N250" i="10" s="1"/>
  <c r="N312" i="10"/>
  <c r="N310" i="10" s="1"/>
  <c r="N34" i="10"/>
  <c r="N14" i="10" s="1"/>
  <c r="J414" i="1"/>
  <c r="J423" i="1"/>
  <c r="I452" i="1"/>
  <c r="K452" i="1" s="1"/>
  <c r="L458" i="1"/>
  <c r="O458" i="1" s="1"/>
  <c r="N462" i="1"/>
  <c r="I475" i="1"/>
  <c r="K475" i="1" s="1"/>
  <c r="K483" i="2"/>
  <c r="K497" i="2"/>
  <c r="J500" i="1"/>
  <c r="J503" i="1"/>
  <c r="J506" i="1"/>
  <c r="J509" i="1"/>
  <c r="I515" i="1"/>
  <c r="K515" i="1" s="1"/>
  <c r="I518" i="1"/>
  <c r="I521" i="1"/>
  <c r="I524" i="1"/>
  <c r="I527" i="1"/>
  <c r="I530" i="1"/>
  <c r="L535" i="1"/>
  <c r="N538" i="1"/>
  <c r="J545" i="1"/>
  <c r="J549" i="1"/>
  <c r="N551" i="1"/>
  <c r="O551" i="1" s="1"/>
  <c r="N554" i="1"/>
  <c r="N566" i="1"/>
  <c r="K631" i="2"/>
  <c r="N668" i="1"/>
  <c r="J110" i="1"/>
  <c r="K110" i="1" s="1"/>
  <c r="O224" i="3"/>
  <c r="J249" i="1"/>
  <c r="J266" i="1"/>
  <c r="L294" i="3"/>
  <c r="O294" i="3" s="1"/>
  <c r="N404" i="1"/>
  <c r="I421" i="1"/>
  <c r="I427" i="1"/>
  <c r="K427" i="1" s="1"/>
  <c r="I517" i="1"/>
  <c r="I520" i="1"/>
  <c r="I523" i="1"/>
  <c r="I526" i="1"/>
  <c r="I529" i="1"/>
  <c r="I532" i="1"/>
  <c r="O537" i="3"/>
  <c r="O582" i="3"/>
  <c r="L601" i="1"/>
  <c r="J607" i="1"/>
  <c r="I612" i="1"/>
  <c r="K617" i="3"/>
  <c r="J620" i="1"/>
  <c r="K620" i="1" s="1"/>
  <c r="J626" i="1"/>
  <c r="K108" i="4"/>
  <c r="K111" i="4"/>
  <c r="K285" i="4"/>
  <c r="N312" i="4"/>
  <c r="N310" i="4" s="1"/>
  <c r="K368" i="4"/>
  <c r="K426" i="4"/>
  <c r="K429" i="4"/>
  <c r="O435" i="4"/>
  <c r="K449" i="4"/>
  <c r="O455" i="4"/>
  <c r="K482" i="4"/>
  <c r="O553" i="4"/>
  <c r="K617" i="4"/>
  <c r="K626" i="4"/>
  <c r="L70" i="5"/>
  <c r="O70" i="5" s="1"/>
  <c r="K93" i="5"/>
  <c r="N96" i="5"/>
  <c r="N94" i="5" s="1"/>
  <c r="O380" i="5"/>
  <c r="O383" i="5"/>
  <c r="K432" i="5"/>
  <c r="O435" i="5"/>
  <c r="O455" i="5"/>
  <c r="K474" i="5"/>
  <c r="K533" i="5"/>
  <c r="O535" i="5"/>
  <c r="K564" i="5"/>
  <c r="J651" i="5"/>
  <c r="N26" i="6"/>
  <c r="N16" i="6" s="1"/>
  <c r="N252" i="6"/>
  <c r="P252" i="6" s="1"/>
  <c r="L333" i="6"/>
  <c r="L331" i="6" s="1"/>
  <c r="L329" i="6" s="1"/>
  <c r="K340" i="6"/>
  <c r="O349" i="6"/>
  <c r="O352" i="6"/>
  <c r="K474" i="6"/>
  <c r="K564" i="6"/>
  <c r="K628" i="6"/>
  <c r="K108" i="7"/>
  <c r="P275" i="7"/>
  <c r="K341" i="7"/>
  <c r="O380" i="7"/>
  <c r="K398" i="7"/>
  <c r="O401" i="7"/>
  <c r="K429" i="7"/>
  <c r="K432" i="7"/>
  <c r="O568" i="7"/>
  <c r="N43" i="8"/>
  <c r="N41" i="8" s="1"/>
  <c r="L57" i="8"/>
  <c r="L55" i="8" s="1"/>
  <c r="L53" i="8" s="1"/>
  <c r="N142" i="8"/>
  <c r="N140" i="8" s="1"/>
  <c r="L224" i="8"/>
  <c r="L222" i="8" s="1"/>
  <c r="K264" i="8"/>
  <c r="O337" i="8"/>
  <c r="K591" i="8"/>
  <c r="K597" i="8"/>
  <c r="K417" i="9"/>
  <c r="K420" i="9"/>
  <c r="K423" i="9"/>
  <c r="K429" i="9"/>
  <c r="K432" i="9"/>
  <c r="O435" i="9"/>
  <c r="O455" i="9"/>
  <c r="K466" i="9"/>
  <c r="P254" i="10"/>
  <c r="M252" i="10"/>
  <c r="K343" i="10"/>
  <c r="P45" i="11"/>
  <c r="L564" i="1"/>
  <c r="J591" i="1"/>
  <c r="J597" i="1"/>
  <c r="N599" i="1"/>
  <c r="N603" i="1"/>
  <c r="J610" i="1"/>
  <c r="J613" i="1"/>
  <c r="J616" i="1"/>
  <c r="J619" i="1"/>
  <c r="J646" i="1"/>
  <c r="L650" i="1"/>
  <c r="J666" i="1"/>
  <c r="J673" i="1"/>
  <c r="P45" i="3"/>
  <c r="I108" i="1"/>
  <c r="L228" i="1"/>
  <c r="O228" i="1" s="1"/>
  <c r="N389" i="1"/>
  <c r="J396" i="1"/>
  <c r="J400" i="1"/>
  <c r="I402" i="1"/>
  <c r="O457" i="3"/>
  <c r="J464" i="1"/>
  <c r="K481" i="3"/>
  <c r="J508" i="1"/>
  <c r="O566" i="3"/>
  <c r="K628" i="3"/>
  <c r="K398" i="4"/>
  <c r="K421" i="4"/>
  <c r="K424" i="4"/>
  <c r="O537" i="4"/>
  <c r="K573" i="4"/>
  <c r="K580" i="4"/>
  <c r="O582" i="4"/>
  <c r="L224" i="5"/>
  <c r="O224" i="5" s="1"/>
  <c r="L275" i="5"/>
  <c r="O275" i="5" s="1"/>
  <c r="K421" i="5"/>
  <c r="K498" i="5"/>
  <c r="K591" i="5"/>
  <c r="K597" i="5"/>
  <c r="O601" i="5"/>
  <c r="K133" i="6"/>
  <c r="P144" i="6"/>
  <c r="K149" i="6"/>
  <c r="K158" i="6"/>
  <c r="K229" i="6"/>
  <c r="K235" i="6"/>
  <c r="L254" i="6"/>
  <c r="O254" i="6" s="1"/>
  <c r="K368" i="6"/>
  <c r="K423" i="6"/>
  <c r="K429" i="6"/>
  <c r="O435" i="6"/>
  <c r="O599" i="6"/>
  <c r="K629" i="6"/>
  <c r="K632" i="6"/>
  <c r="K635" i="6"/>
  <c r="P49" i="7"/>
  <c r="K111" i="7"/>
  <c r="K372" i="7"/>
  <c r="O537" i="7"/>
  <c r="O582" i="7"/>
  <c r="K249" i="8"/>
  <c r="L314" i="8"/>
  <c r="O314" i="8" s="1"/>
  <c r="K235" i="9"/>
  <c r="L254" i="9"/>
  <c r="O254" i="9" s="1"/>
  <c r="K368" i="9"/>
  <c r="K377" i="9"/>
  <c r="O383" i="9"/>
  <c r="O401" i="9"/>
  <c r="L45" i="10"/>
  <c r="L43" i="10" s="1"/>
  <c r="K285" i="10"/>
  <c r="O337" i="10"/>
  <c r="K341" i="10"/>
  <c r="O347" i="10"/>
  <c r="K371" i="10"/>
  <c r="I367" i="10"/>
  <c r="K367" i="10" s="1"/>
  <c r="O534" i="14"/>
  <c r="L31" i="14"/>
  <c r="L29" i="14" s="1"/>
  <c r="O29" i="14" s="1"/>
  <c r="K625" i="16"/>
  <c r="K620" i="16"/>
  <c r="K464" i="8"/>
  <c r="O564" i="8"/>
  <c r="K595" i="8"/>
  <c r="N273" i="9"/>
  <c r="N271" i="9" s="1"/>
  <c r="O566" i="9"/>
  <c r="K591" i="9"/>
  <c r="O661" i="9"/>
  <c r="N68" i="10"/>
  <c r="N66" i="10" s="1"/>
  <c r="N120" i="10"/>
  <c r="N118" i="10" s="1"/>
  <c r="K328" i="10"/>
  <c r="K430" i="10"/>
  <c r="K499" i="10"/>
  <c r="O566" i="10"/>
  <c r="M94" i="11"/>
  <c r="P94" i="11" s="1"/>
  <c r="N273" i="11"/>
  <c r="N271" i="11" s="1"/>
  <c r="K108" i="12"/>
  <c r="K249" i="12"/>
  <c r="N252" i="12"/>
  <c r="N55" i="13"/>
  <c r="P55" i="13" s="1"/>
  <c r="K416" i="14"/>
  <c r="N26" i="18"/>
  <c r="N16" i="18" s="1"/>
  <c r="N273" i="8"/>
  <c r="N271" i="8" s="1"/>
  <c r="K340" i="8"/>
  <c r="K381" i="8"/>
  <c r="K402" i="8"/>
  <c r="K455" i="8"/>
  <c r="O457" i="8"/>
  <c r="K465" i="8"/>
  <c r="K473" i="8"/>
  <c r="O533" i="8"/>
  <c r="K573" i="8"/>
  <c r="K580" i="8"/>
  <c r="O582" i="8"/>
  <c r="O601" i="8"/>
  <c r="K219" i="9"/>
  <c r="N252" i="9"/>
  <c r="N250" i="9" s="1"/>
  <c r="L275" i="9"/>
  <c r="L273" i="9" s="1"/>
  <c r="O273" i="9" s="1"/>
  <c r="L333" i="9"/>
  <c r="O333" i="9" s="1"/>
  <c r="K419" i="9"/>
  <c r="K481" i="9"/>
  <c r="O584" i="9"/>
  <c r="K589" i="9"/>
  <c r="K619" i="9"/>
  <c r="K87" i="10"/>
  <c r="L122" i="10"/>
  <c r="O122" i="10" s="1"/>
  <c r="L144" i="10"/>
  <c r="O144" i="10" s="1"/>
  <c r="K345" i="10"/>
  <c r="N31" i="10"/>
  <c r="N29" i="10" s="1"/>
  <c r="O385" i="10"/>
  <c r="K397" i="10"/>
  <c r="K401" i="10"/>
  <c r="O406" i="10"/>
  <c r="K420" i="10"/>
  <c r="K431" i="10"/>
  <c r="K435" i="10"/>
  <c r="K474" i="10"/>
  <c r="L31" i="11"/>
  <c r="L29" i="11" s="1"/>
  <c r="L57" i="11"/>
  <c r="L55" i="11" s="1"/>
  <c r="K176" i="11"/>
  <c r="K328" i="11"/>
  <c r="K341" i="11"/>
  <c r="O347" i="11"/>
  <c r="K350" i="11"/>
  <c r="K368" i="11"/>
  <c r="K377" i="11"/>
  <c r="O380" i="11"/>
  <c r="O533" i="11"/>
  <c r="K547" i="11"/>
  <c r="P98" i="12"/>
  <c r="L144" i="12"/>
  <c r="O144" i="12" s="1"/>
  <c r="K200" i="12"/>
  <c r="N31" i="13"/>
  <c r="N29" i="13" s="1"/>
  <c r="K498" i="13"/>
  <c r="K285" i="14"/>
  <c r="L294" i="14"/>
  <c r="L292" i="14" s="1"/>
  <c r="K380" i="14"/>
  <c r="M43" i="18"/>
  <c r="M41" i="18" s="1"/>
  <c r="P45" i="18"/>
  <c r="J651" i="12"/>
  <c r="K381" i="10"/>
  <c r="K398" i="10"/>
  <c r="K421" i="10"/>
  <c r="K424" i="10"/>
  <c r="O435" i="10"/>
  <c r="O455" i="10"/>
  <c r="K498" i="10"/>
  <c r="P70" i="11"/>
  <c r="L98" i="11"/>
  <c r="K158" i="11"/>
  <c r="K173" i="11"/>
  <c r="K186" i="11"/>
  <c r="K345" i="11"/>
  <c r="K372" i="11"/>
  <c r="O648" i="11"/>
  <c r="L24" i="12"/>
  <c r="O24" i="12" s="1"/>
  <c r="L275" i="12"/>
  <c r="L273" i="12" s="1"/>
  <c r="L271" i="12" s="1"/>
  <c r="K465" i="12"/>
  <c r="N120" i="13"/>
  <c r="N118" i="13" s="1"/>
  <c r="P144" i="13"/>
  <c r="K149" i="13"/>
  <c r="N292" i="13"/>
  <c r="N290" i="13" s="1"/>
  <c r="N312" i="13"/>
  <c r="N310" i="13" s="1"/>
  <c r="K341" i="13"/>
  <c r="O347" i="13"/>
  <c r="K111" i="14"/>
  <c r="K219" i="14"/>
  <c r="N312" i="15"/>
  <c r="N310" i="15" s="1"/>
  <c r="O354" i="11"/>
  <c r="K422" i="11"/>
  <c r="K425" i="11"/>
  <c r="K428" i="11"/>
  <c r="K431" i="11"/>
  <c r="O437" i="11"/>
  <c r="K473" i="11"/>
  <c r="K497" i="11"/>
  <c r="O568" i="11"/>
  <c r="O582" i="11"/>
  <c r="K593" i="11"/>
  <c r="P144" i="12"/>
  <c r="M142" i="12"/>
  <c r="M140" i="12" s="1"/>
  <c r="K149" i="12"/>
  <c r="K158" i="12"/>
  <c r="K189" i="12"/>
  <c r="L314" i="12"/>
  <c r="O314" i="12" s="1"/>
  <c r="O380" i="12"/>
  <c r="K420" i="12"/>
  <c r="K423" i="12"/>
  <c r="K426" i="12"/>
  <c r="K429" i="12"/>
  <c r="K432" i="12"/>
  <c r="O455" i="12"/>
  <c r="O533" i="12"/>
  <c r="K547" i="12"/>
  <c r="K635" i="12"/>
  <c r="P122" i="13"/>
  <c r="K164" i="13"/>
  <c r="K173" i="13"/>
  <c r="K200" i="13"/>
  <c r="K285" i="13"/>
  <c r="K328" i="13"/>
  <c r="K377" i="13"/>
  <c r="O380" i="13"/>
  <c r="K450" i="13"/>
  <c r="O459" i="13"/>
  <c r="K464" i="13"/>
  <c r="K473" i="13"/>
  <c r="O533" i="13"/>
  <c r="K466" i="14"/>
  <c r="K481" i="14"/>
  <c r="O601" i="14"/>
  <c r="K229" i="15"/>
  <c r="N96" i="17"/>
  <c r="N94" i="17" s="1"/>
  <c r="K270" i="15"/>
  <c r="K341" i="15"/>
  <c r="K631" i="15"/>
  <c r="K64" i="16"/>
  <c r="K80" i="16"/>
  <c r="K219" i="16"/>
  <c r="L275" i="16"/>
  <c r="L273" i="16" s="1"/>
  <c r="L294" i="16"/>
  <c r="L292" i="16" s="1"/>
  <c r="O292" i="16" s="1"/>
  <c r="K328" i="16"/>
  <c r="K341" i="16"/>
  <c r="K368" i="16"/>
  <c r="K377" i="16"/>
  <c r="O380" i="16"/>
  <c r="K423" i="16"/>
  <c r="O584" i="16"/>
  <c r="K616" i="16"/>
  <c r="N644" i="16"/>
  <c r="N640" i="16" s="1"/>
  <c r="N638" i="16" s="1"/>
  <c r="N636" i="16" s="1"/>
  <c r="K149" i="17"/>
  <c r="K158" i="17"/>
  <c r="K464" i="17"/>
  <c r="N292" i="18"/>
  <c r="N290" i="18" s="1"/>
  <c r="L294" i="18"/>
  <c r="L292" i="18" s="1"/>
  <c r="K372" i="18"/>
  <c r="K424" i="18"/>
  <c r="K455" i="18"/>
  <c r="O535" i="18"/>
  <c r="O601" i="18"/>
  <c r="K650" i="18"/>
  <c r="N252" i="14"/>
  <c r="N250" i="14" s="1"/>
  <c r="K377" i="14"/>
  <c r="K398" i="14"/>
  <c r="K420" i="14"/>
  <c r="K431" i="14"/>
  <c r="K435" i="14"/>
  <c r="K533" i="14"/>
  <c r="O535" i="14"/>
  <c r="O564" i="14"/>
  <c r="K591" i="14"/>
  <c r="K597" i="14"/>
  <c r="K65" i="15"/>
  <c r="L98" i="15"/>
  <c r="O98" i="15" s="1"/>
  <c r="K200" i="15"/>
  <c r="K425" i="15"/>
  <c r="K474" i="15"/>
  <c r="O597" i="15"/>
  <c r="P70" i="16"/>
  <c r="L254" i="16"/>
  <c r="O254" i="16" s="1"/>
  <c r="K634" i="16"/>
  <c r="N68" i="17"/>
  <c r="N66" i="17" s="1"/>
  <c r="K110" i="17"/>
  <c r="P122" i="17"/>
  <c r="L144" i="17"/>
  <c r="L142" i="17" s="1"/>
  <c r="L140" i="17" s="1"/>
  <c r="N252" i="17"/>
  <c r="N250" i="17" s="1"/>
  <c r="N292" i="17"/>
  <c r="N290" i="17" s="1"/>
  <c r="N331" i="17"/>
  <c r="O537" i="17"/>
  <c r="K573" i="17"/>
  <c r="N43" i="18"/>
  <c r="N41" i="18" s="1"/>
  <c r="N68" i="18"/>
  <c r="P68" i="18" s="1"/>
  <c r="K267" i="18"/>
  <c r="L333" i="18"/>
  <c r="L331" i="18" s="1"/>
  <c r="K340" i="18"/>
  <c r="K343" i="18"/>
  <c r="O349" i="18"/>
  <c r="K422" i="18"/>
  <c r="K428" i="18"/>
  <c r="K449" i="18"/>
  <c r="K466" i="18"/>
  <c r="O533" i="18"/>
  <c r="K629" i="18"/>
  <c r="K345" i="16"/>
  <c r="K421" i="16"/>
  <c r="N31" i="16"/>
  <c r="N29" i="16" s="1"/>
  <c r="K473" i="16"/>
  <c r="O564" i="16"/>
  <c r="P254" i="17"/>
  <c r="L275" i="17"/>
  <c r="L273" i="17" s="1"/>
  <c r="N312" i="17"/>
  <c r="N310" i="17" s="1"/>
  <c r="K376" i="17"/>
  <c r="K380" i="17"/>
  <c r="O385" i="17"/>
  <c r="K417" i="17"/>
  <c r="K420" i="17"/>
  <c r="K423" i="17"/>
  <c r="K426" i="17"/>
  <c r="K432" i="17"/>
  <c r="K498" i="17"/>
  <c r="K533" i="17"/>
  <c r="K665" i="17"/>
  <c r="N120" i="18"/>
  <c r="N118" i="18" s="1"/>
  <c r="N142" i="18"/>
  <c r="N140" i="18" s="1"/>
  <c r="K189" i="18"/>
  <c r="P275" i="18"/>
  <c r="K304" i="18"/>
  <c r="K665" i="18"/>
  <c r="K219" i="11"/>
  <c r="P254" i="11"/>
  <c r="N32" i="11"/>
  <c r="N30" i="11" s="1"/>
  <c r="O385" i="11"/>
  <c r="K397" i="11"/>
  <c r="K432" i="11"/>
  <c r="O435" i="11"/>
  <c r="K455" i="11"/>
  <c r="K597" i="11"/>
  <c r="O599" i="11"/>
  <c r="K629" i="11"/>
  <c r="K632" i="11"/>
  <c r="K635" i="11"/>
  <c r="K648" i="11"/>
  <c r="L640" i="11"/>
  <c r="P49" i="12"/>
  <c r="K113" i="12"/>
  <c r="P122" i="12"/>
  <c r="L254" i="12"/>
  <c r="O254" i="12" s="1"/>
  <c r="K270" i="12"/>
  <c r="K349" i="12"/>
  <c r="O354" i="12"/>
  <c r="K396" i="12"/>
  <c r="K402" i="12"/>
  <c r="K430" i="12"/>
  <c r="K628" i="12"/>
  <c r="K631" i="12"/>
  <c r="N43" i="13"/>
  <c r="N41" i="13" s="1"/>
  <c r="L57" i="13"/>
  <c r="O57" i="13" s="1"/>
  <c r="K219" i="13"/>
  <c r="N222" i="13"/>
  <c r="K349" i="13"/>
  <c r="K375" i="13"/>
  <c r="K381" i="13"/>
  <c r="K402" i="13"/>
  <c r="K416" i="13"/>
  <c r="K422" i="13"/>
  <c r="K455" i="13"/>
  <c r="O457" i="13"/>
  <c r="K465" i="13"/>
  <c r="K474" i="13"/>
  <c r="O568" i="13"/>
  <c r="L224" i="14"/>
  <c r="L222" i="14" s="1"/>
  <c r="K375" i="14"/>
  <c r="K396" i="14"/>
  <c r="K421" i="14"/>
  <c r="K424" i="14"/>
  <c r="K429" i="14"/>
  <c r="O533" i="14"/>
  <c r="K547" i="14"/>
  <c r="K619" i="14"/>
  <c r="K81" i="15"/>
  <c r="K132" i="15"/>
  <c r="K138" i="15"/>
  <c r="K340" i="15"/>
  <c r="K368" i="15"/>
  <c r="K429" i="15"/>
  <c r="O435" i="15"/>
  <c r="K449" i="15"/>
  <c r="K466" i="15"/>
  <c r="O651" i="15"/>
  <c r="O665" i="15"/>
  <c r="O49" i="16"/>
  <c r="K132" i="16"/>
  <c r="K164" i="16"/>
  <c r="K173" i="16"/>
  <c r="L333" i="16"/>
  <c r="L331" i="16" s="1"/>
  <c r="L329" i="16" s="1"/>
  <c r="K380" i="16"/>
  <c r="O437" i="16"/>
  <c r="K455" i="16"/>
  <c r="N33" i="16"/>
  <c r="N13" i="16" s="1"/>
  <c r="O580" i="16"/>
  <c r="O102" i="17"/>
  <c r="K229" i="17"/>
  <c r="P314" i="17"/>
  <c r="O533" i="17"/>
  <c r="O661" i="17"/>
  <c r="N96" i="18"/>
  <c r="N94" i="18" s="1"/>
  <c r="K109" i="18"/>
  <c r="K200" i="18"/>
  <c r="N252" i="18"/>
  <c r="N312" i="18"/>
  <c r="P312" i="18" s="1"/>
  <c r="O459" i="18"/>
  <c r="K633" i="18"/>
  <c r="I219" i="1"/>
  <c r="L584" i="1"/>
  <c r="P57" i="2"/>
  <c r="J84" i="1"/>
  <c r="P96" i="2"/>
  <c r="J157" i="1"/>
  <c r="J162" i="1"/>
  <c r="J171" i="1"/>
  <c r="L335" i="1"/>
  <c r="J375" i="1"/>
  <c r="I467" i="1"/>
  <c r="K467" i="1" s="1"/>
  <c r="J475" i="1"/>
  <c r="K612" i="2"/>
  <c r="N651" i="1"/>
  <c r="N661" i="1"/>
  <c r="I671" i="1"/>
  <c r="N120" i="3"/>
  <c r="N118" i="3" s="1"/>
  <c r="J129" i="1"/>
  <c r="J133" i="1"/>
  <c r="N222" i="3"/>
  <c r="N220" i="3" s="1"/>
  <c r="J300" i="1"/>
  <c r="J402" i="1"/>
  <c r="L33" i="3"/>
  <c r="O33" i="3" s="1"/>
  <c r="K421" i="3"/>
  <c r="N457" i="1"/>
  <c r="K615" i="3"/>
  <c r="O49" i="4"/>
  <c r="K80" i="4"/>
  <c r="K380" i="5"/>
  <c r="L298" i="1"/>
  <c r="O298" i="1" s="1"/>
  <c r="I514" i="1"/>
  <c r="K514" i="1" s="1"/>
  <c r="L554" i="1"/>
  <c r="O554" i="1" s="1"/>
  <c r="I579" i="1"/>
  <c r="K579" i="1" s="1"/>
  <c r="L23" i="2"/>
  <c r="O23" i="2" s="1"/>
  <c r="J64" i="1"/>
  <c r="J82" i="1"/>
  <c r="I92" i="1"/>
  <c r="I149" i="1"/>
  <c r="J260" i="1"/>
  <c r="K343" i="2"/>
  <c r="K375" i="2"/>
  <c r="O533" i="2"/>
  <c r="K589" i="2"/>
  <c r="K622" i="2"/>
  <c r="K629" i="2"/>
  <c r="N648" i="1"/>
  <c r="J650" i="1"/>
  <c r="O651" i="2"/>
  <c r="J665" i="1"/>
  <c r="N26" i="3"/>
  <c r="N16" i="3" s="1"/>
  <c r="N55" i="3"/>
  <c r="P55" i="3" s="1"/>
  <c r="K108" i="3"/>
  <c r="O258" i="3"/>
  <c r="K267" i="3"/>
  <c r="O349" i="3"/>
  <c r="O351" i="3"/>
  <c r="L354" i="1"/>
  <c r="J360" i="1"/>
  <c r="O383" i="3"/>
  <c r="J397" i="1"/>
  <c r="K425" i="3"/>
  <c r="K427" i="3"/>
  <c r="K430" i="3"/>
  <c r="O435" i="3"/>
  <c r="J453" i="1"/>
  <c r="K564" i="3"/>
  <c r="O599" i="3"/>
  <c r="K158" i="4"/>
  <c r="L279" i="1"/>
  <c r="O279" i="1" s="1"/>
  <c r="I340" i="1"/>
  <c r="K340" i="1" s="1"/>
  <c r="I490" i="1"/>
  <c r="K490" i="1" s="1"/>
  <c r="L24" i="2"/>
  <c r="O24" i="2" s="1"/>
  <c r="J92" i="1"/>
  <c r="N118" i="2"/>
  <c r="M142" i="2"/>
  <c r="N222" i="2"/>
  <c r="N220" i="2" s="1"/>
  <c r="N292" i="2"/>
  <c r="N290" i="2" s="1"/>
  <c r="N357" i="1"/>
  <c r="J364" i="1"/>
  <c r="J368" i="1"/>
  <c r="J429" i="1"/>
  <c r="K473" i="2"/>
  <c r="J551" i="1"/>
  <c r="K551" i="1" s="1"/>
  <c r="L598" i="1"/>
  <c r="O598" i="1" s="1"/>
  <c r="I615" i="1"/>
  <c r="J671" i="2"/>
  <c r="I83" i="1"/>
  <c r="K83" i="1" s="1"/>
  <c r="K235" i="3"/>
  <c r="M292" i="3"/>
  <c r="P292" i="3" s="1"/>
  <c r="I381" i="1"/>
  <c r="J478" i="1"/>
  <c r="K613" i="3"/>
  <c r="J651" i="3"/>
  <c r="J671" i="3"/>
  <c r="L144" i="4"/>
  <c r="L142" i="4" s="1"/>
  <c r="L140" i="4" s="1"/>
  <c r="P224" i="4"/>
  <c r="J281" i="1"/>
  <c r="L315" i="1"/>
  <c r="P294" i="5"/>
  <c r="M292" i="5"/>
  <c r="L99" i="1"/>
  <c r="I176" i="1"/>
  <c r="I264" i="1"/>
  <c r="I478" i="1"/>
  <c r="K478" i="1" s="1"/>
  <c r="I595" i="1"/>
  <c r="L600" i="1"/>
  <c r="O600" i="1" s="1"/>
  <c r="P45" i="2"/>
  <c r="P122" i="2"/>
  <c r="J181" i="1"/>
  <c r="M273" i="2"/>
  <c r="M271" i="2" s="1"/>
  <c r="I339" i="1"/>
  <c r="K339" i="1" s="1"/>
  <c r="J350" i="1"/>
  <c r="K350" i="1" s="1"/>
  <c r="N353" i="1"/>
  <c r="J399" i="1"/>
  <c r="K474" i="2"/>
  <c r="J485" i="1"/>
  <c r="N587" i="1"/>
  <c r="J623" i="1"/>
  <c r="J65" i="1"/>
  <c r="J201" i="1"/>
  <c r="J209" i="1"/>
  <c r="J217" i="1"/>
  <c r="O347" i="3"/>
  <c r="K350" i="3"/>
  <c r="J373" i="1"/>
  <c r="K417" i="3"/>
  <c r="K423" i="3"/>
  <c r="K426" i="3"/>
  <c r="K449" i="3"/>
  <c r="O533" i="3"/>
  <c r="O580" i="3"/>
  <c r="K593" i="3"/>
  <c r="O597" i="3"/>
  <c r="K619" i="3"/>
  <c r="K632" i="3"/>
  <c r="P45" i="5"/>
  <c r="O347" i="5"/>
  <c r="P140" i="7"/>
  <c r="K213" i="8"/>
  <c r="J199" i="1"/>
  <c r="M294" i="1"/>
  <c r="I492" i="1"/>
  <c r="K492" i="1" s="1"/>
  <c r="L70" i="2"/>
  <c r="O70" i="2" s="1"/>
  <c r="J160" i="1"/>
  <c r="J169" i="1"/>
  <c r="K200" i="2"/>
  <c r="J263" i="1"/>
  <c r="J342" i="1"/>
  <c r="I345" i="1"/>
  <c r="L351" i="1"/>
  <c r="O351" i="1" s="1"/>
  <c r="I377" i="1"/>
  <c r="J380" i="1"/>
  <c r="J419" i="1"/>
  <c r="K466" i="2"/>
  <c r="J477" i="1"/>
  <c r="I489" i="1"/>
  <c r="K489" i="1" s="1"/>
  <c r="J497" i="1"/>
  <c r="K497" i="1" s="1"/>
  <c r="I503" i="1"/>
  <c r="K503" i="1" s="1"/>
  <c r="J511" i="1"/>
  <c r="N583" i="1"/>
  <c r="K597" i="2"/>
  <c r="I613" i="1"/>
  <c r="I619" i="1"/>
  <c r="P70" i="3"/>
  <c r="K158" i="3"/>
  <c r="J163" i="1"/>
  <c r="J172" i="1"/>
  <c r="J176" i="1"/>
  <c r="K189" i="3"/>
  <c r="K249" i="3"/>
  <c r="L334" i="1"/>
  <c r="J344" i="1"/>
  <c r="K418" i="3"/>
  <c r="J420" i="1"/>
  <c r="O459" i="3"/>
  <c r="I464" i="1"/>
  <c r="K464" i="1" s="1"/>
  <c r="J502" i="1"/>
  <c r="K630" i="3"/>
  <c r="K633" i="3"/>
  <c r="P49" i="4"/>
  <c r="K64" i="4"/>
  <c r="L70" i="4"/>
  <c r="O70" i="4" s="1"/>
  <c r="K87" i="4"/>
  <c r="K92" i="4"/>
  <c r="L24" i="4"/>
  <c r="L224" i="4"/>
  <c r="O224" i="4" s="1"/>
  <c r="O254" i="8"/>
  <c r="L252" i="8"/>
  <c r="K371" i="8"/>
  <c r="I367" i="8"/>
  <c r="K367" i="8" s="1"/>
  <c r="K309" i="4"/>
  <c r="O401" i="4"/>
  <c r="K455" i="4"/>
  <c r="K481" i="4"/>
  <c r="K589" i="4"/>
  <c r="K595" i="4"/>
  <c r="O649" i="4"/>
  <c r="M252" i="5"/>
  <c r="K427" i="5"/>
  <c r="N32" i="5"/>
  <c r="N30" i="5" s="1"/>
  <c r="O580" i="5"/>
  <c r="K109" i="6"/>
  <c r="K117" i="6"/>
  <c r="K375" i="6"/>
  <c r="O406" i="6"/>
  <c r="K417" i="6"/>
  <c r="K481" i="6"/>
  <c r="K138" i="7"/>
  <c r="N222" i="7"/>
  <c r="N220" i="7" s="1"/>
  <c r="K380" i="7"/>
  <c r="N31" i="7"/>
  <c r="N29" i="7" s="1"/>
  <c r="O406" i="7"/>
  <c r="K573" i="7"/>
  <c r="K580" i="7"/>
  <c r="K597" i="7"/>
  <c r="K629" i="7"/>
  <c r="K635" i="7"/>
  <c r="N96" i="8"/>
  <c r="N94" i="8" s="1"/>
  <c r="K132" i="8"/>
  <c r="N331" i="8"/>
  <c r="N329" i="8" s="1"/>
  <c r="N33" i="4"/>
  <c r="N13" i="4" s="1"/>
  <c r="K465" i="4"/>
  <c r="K630" i="4"/>
  <c r="K628" i="5"/>
  <c r="K264" i="6"/>
  <c r="K343" i="6"/>
  <c r="K449" i="6"/>
  <c r="K455" i="6"/>
  <c r="K547" i="6"/>
  <c r="L144" i="7"/>
  <c r="O144" i="7" s="1"/>
  <c r="L224" i="7"/>
  <c r="O224" i="7" s="1"/>
  <c r="O385" i="7"/>
  <c r="O437" i="7"/>
  <c r="K564" i="7"/>
  <c r="O566" i="7"/>
  <c r="L98" i="8"/>
  <c r="O98" i="8" s="1"/>
  <c r="K110" i="8"/>
  <c r="P122" i="8"/>
  <c r="P144" i="8"/>
  <c r="K149" i="8"/>
  <c r="K199" i="8"/>
  <c r="K215" i="8"/>
  <c r="M292" i="8"/>
  <c r="P292" i="8" s="1"/>
  <c r="K349" i="8"/>
  <c r="K372" i="8"/>
  <c r="O383" i="8"/>
  <c r="O401" i="8"/>
  <c r="P275" i="4"/>
  <c r="K422" i="4"/>
  <c r="K427" i="4"/>
  <c r="K466" i="4"/>
  <c r="K474" i="4"/>
  <c r="K109" i="5"/>
  <c r="K425" i="5"/>
  <c r="K499" i="5"/>
  <c r="L224" i="6"/>
  <c r="O224" i="6" s="1"/>
  <c r="P254" i="6"/>
  <c r="K380" i="6"/>
  <c r="K396" i="6"/>
  <c r="J651" i="6"/>
  <c r="K651" i="6" s="1"/>
  <c r="P122" i="7"/>
  <c r="O404" i="7"/>
  <c r="O435" i="7"/>
  <c r="K451" i="7"/>
  <c r="O533" i="7"/>
  <c r="K618" i="7"/>
  <c r="K630" i="7"/>
  <c r="P57" i="8"/>
  <c r="K92" i="8"/>
  <c r="K219" i="8"/>
  <c r="K416" i="8"/>
  <c r="K419" i="8"/>
  <c r="K422" i="8"/>
  <c r="K425" i="8"/>
  <c r="K428" i="8"/>
  <c r="K431" i="8"/>
  <c r="N26" i="9"/>
  <c r="N16" i="9" s="1"/>
  <c r="N96" i="9"/>
  <c r="N94" i="9" s="1"/>
  <c r="L294" i="4"/>
  <c r="O294" i="4" s="1"/>
  <c r="O439" i="4"/>
  <c r="O555" i="4"/>
  <c r="K560" i="4"/>
  <c r="O580" i="4"/>
  <c r="L294" i="5"/>
  <c r="L314" i="5"/>
  <c r="L312" i="5" s="1"/>
  <c r="L310" i="5" s="1"/>
  <c r="O310" i="5" s="1"/>
  <c r="K381" i="5"/>
  <c r="K625" i="5"/>
  <c r="K111" i="6"/>
  <c r="K219" i="6"/>
  <c r="K350" i="6"/>
  <c r="K497" i="6"/>
  <c r="O564" i="6"/>
  <c r="K623" i="6"/>
  <c r="N34" i="7"/>
  <c r="N14" i="7" s="1"/>
  <c r="K370" i="7"/>
  <c r="K375" i="7"/>
  <c r="O564" i="7"/>
  <c r="K64" i="8"/>
  <c r="L144" i="8"/>
  <c r="O144" i="8" s="1"/>
  <c r="K164" i="8"/>
  <c r="K173" i="8"/>
  <c r="K200" i="8"/>
  <c r="K370" i="8"/>
  <c r="P254" i="4"/>
  <c r="P314" i="4"/>
  <c r="K372" i="4"/>
  <c r="O383" i="4"/>
  <c r="O406" i="4"/>
  <c r="K417" i="4"/>
  <c r="K431" i="4"/>
  <c r="K435" i="4"/>
  <c r="O459" i="4"/>
  <c r="K464" i="4"/>
  <c r="O533" i="4"/>
  <c r="K547" i="4"/>
  <c r="K551" i="4"/>
  <c r="K621" i="4"/>
  <c r="L98" i="5"/>
  <c r="L96" i="5" s="1"/>
  <c r="L94" i="5" s="1"/>
  <c r="K113" i="5"/>
  <c r="K396" i="5"/>
  <c r="O404" i="5"/>
  <c r="K423" i="5"/>
  <c r="K429" i="5"/>
  <c r="O537" i="5"/>
  <c r="K623" i="5"/>
  <c r="K630" i="5"/>
  <c r="P45" i="6"/>
  <c r="K88" i="6"/>
  <c r="K93" i="6"/>
  <c r="K189" i="6"/>
  <c r="K199" i="6"/>
  <c r="K349" i="6"/>
  <c r="K377" i="6"/>
  <c r="O385" i="6"/>
  <c r="K419" i="6"/>
  <c r="K498" i="6"/>
  <c r="K631" i="6"/>
  <c r="K649" i="6"/>
  <c r="P45" i="7"/>
  <c r="L333" i="7"/>
  <c r="O333" i="7" s="1"/>
  <c r="K343" i="7"/>
  <c r="O349" i="7"/>
  <c r="K402" i="7"/>
  <c r="K416" i="7"/>
  <c r="K481" i="7"/>
  <c r="K499" i="7"/>
  <c r="O584" i="7"/>
  <c r="K628" i="7"/>
  <c r="K631" i="7"/>
  <c r="K634" i="7"/>
  <c r="K80" i="8"/>
  <c r="K88" i="8"/>
  <c r="K267" i="8"/>
  <c r="K285" i="8"/>
  <c r="K328" i="8"/>
  <c r="K397" i="8"/>
  <c r="K417" i="8"/>
  <c r="K420" i="8"/>
  <c r="K423" i="8"/>
  <c r="K426" i="8"/>
  <c r="K429" i="8"/>
  <c r="K432" i="8"/>
  <c r="M312" i="9"/>
  <c r="M310" i="9" s="1"/>
  <c r="P310" i="9" s="1"/>
  <c r="P314" i="9"/>
  <c r="K474" i="8"/>
  <c r="K499" i="8"/>
  <c r="K629" i="8"/>
  <c r="P45" i="9"/>
  <c r="K465" i="9"/>
  <c r="O580" i="9"/>
  <c r="K623" i="9"/>
  <c r="N43" i="10"/>
  <c r="N41" i="10" s="1"/>
  <c r="P144" i="10"/>
  <c r="K158" i="10"/>
  <c r="K164" i="10"/>
  <c r="K189" i="10"/>
  <c r="M312" i="10"/>
  <c r="O401" i="10"/>
  <c r="O404" i="10"/>
  <c r="K418" i="10"/>
  <c r="K432" i="10"/>
  <c r="K497" i="10"/>
  <c r="K533" i="10"/>
  <c r="O535" i="10"/>
  <c r="M252" i="11"/>
  <c r="L254" i="11"/>
  <c r="O254" i="11" s="1"/>
  <c r="M273" i="11"/>
  <c r="L275" i="11"/>
  <c r="O275" i="11" s="1"/>
  <c r="K375" i="11"/>
  <c r="O649" i="11"/>
  <c r="M120" i="12"/>
  <c r="M118" i="12" s="1"/>
  <c r="P118" i="12" s="1"/>
  <c r="N32" i="12"/>
  <c r="N30" i="12" s="1"/>
  <c r="I367" i="12"/>
  <c r="K367" i="12" s="1"/>
  <c r="K466" i="12"/>
  <c r="O601" i="12"/>
  <c r="K665" i="12"/>
  <c r="N96" i="13"/>
  <c r="N94" i="13" s="1"/>
  <c r="K423" i="13"/>
  <c r="K426" i="13"/>
  <c r="K429" i="13"/>
  <c r="K432" i="13"/>
  <c r="K449" i="13"/>
  <c r="O564" i="13"/>
  <c r="P98" i="14"/>
  <c r="K200" i="14"/>
  <c r="N312" i="14"/>
  <c r="N310" i="14" s="1"/>
  <c r="K371" i="14"/>
  <c r="I367" i="14"/>
  <c r="K367" i="14" s="1"/>
  <c r="L98" i="18"/>
  <c r="O98" i="18" s="1"/>
  <c r="K449" i="8"/>
  <c r="K497" i="8"/>
  <c r="O537" i="8"/>
  <c r="K593" i="8"/>
  <c r="J671" i="8"/>
  <c r="K431" i="9"/>
  <c r="K455" i="9"/>
  <c r="N273" i="10"/>
  <c r="N271" i="10" s="1"/>
  <c r="O333" i="10"/>
  <c r="O459" i="10"/>
  <c r="K464" i="10"/>
  <c r="M120" i="11"/>
  <c r="M118" i="11" s="1"/>
  <c r="K200" i="11"/>
  <c r="I367" i="11"/>
  <c r="K367" i="11" s="1"/>
  <c r="K421" i="11"/>
  <c r="K427" i="11"/>
  <c r="K430" i="11"/>
  <c r="O455" i="11"/>
  <c r="K465" i="11"/>
  <c r="K499" i="11"/>
  <c r="K580" i="11"/>
  <c r="K631" i="11"/>
  <c r="L45" i="12"/>
  <c r="O45" i="12" s="1"/>
  <c r="K164" i="12"/>
  <c r="K229" i="12"/>
  <c r="O347" i="12"/>
  <c r="K422" i="12"/>
  <c r="K428" i="12"/>
  <c r="K431" i="12"/>
  <c r="K464" i="12"/>
  <c r="K473" i="12"/>
  <c r="O568" i="12"/>
  <c r="K573" i="12"/>
  <c r="K597" i="12"/>
  <c r="L98" i="13"/>
  <c r="L96" i="13" s="1"/>
  <c r="O96" i="13" s="1"/>
  <c r="K132" i="13"/>
  <c r="N252" i="13"/>
  <c r="N250" i="13" s="1"/>
  <c r="N331" i="13"/>
  <c r="N329" i="13" s="1"/>
  <c r="K345" i="13"/>
  <c r="K591" i="13"/>
  <c r="K597" i="13"/>
  <c r="O599" i="13"/>
  <c r="J671" i="13"/>
  <c r="M55" i="14"/>
  <c r="M53" i="14" s="1"/>
  <c r="K112" i="14"/>
  <c r="M120" i="14"/>
  <c r="P120" i="14" s="1"/>
  <c r="P254" i="15"/>
  <c r="M252" i="15"/>
  <c r="P252" i="15" s="1"/>
  <c r="L33" i="8"/>
  <c r="O33" i="8" s="1"/>
  <c r="K626" i="8"/>
  <c r="L45" i="9"/>
  <c r="O45" i="9" s="1"/>
  <c r="K396" i="9"/>
  <c r="K402" i="9"/>
  <c r="K418" i="9"/>
  <c r="K449" i="9"/>
  <c r="K650" i="9"/>
  <c r="L57" i="10"/>
  <c r="O57" i="10" s="1"/>
  <c r="K428" i="10"/>
  <c r="O533" i="10"/>
  <c r="K551" i="10"/>
  <c r="O553" i="10"/>
  <c r="K264" i="11"/>
  <c r="K380" i="11"/>
  <c r="K402" i="11"/>
  <c r="K416" i="11"/>
  <c r="K450" i="11"/>
  <c r="K474" i="11"/>
  <c r="K564" i="11"/>
  <c r="O566" i="11"/>
  <c r="O580" i="11"/>
  <c r="K591" i="11"/>
  <c r="K649" i="11"/>
  <c r="O665" i="11"/>
  <c r="O98" i="12"/>
  <c r="N96" i="12"/>
  <c r="N94" i="12" s="1"/>
  <c r="L224" i="12"/>
  <c r="O224" i="12" s="1"/>
  <c r="L333" i="12"/>
  <c r="O333" i="12" s="1"/>
  <c r="K340" i="12"/>
  <c r="K345" i="12"/>
  <c r="K368" i="12"/>
  <c r="K377" i="12"/>
  <c r="K435" i="12"/>
  <c r="O457" i="12"/>
  <c r="K497" i="12"/>
  <c r="O537" i="12"/>
  <c r="K564" i="12"/>
  <c r="L640" i="12"/>
  <c r="L638" i="12" s="1"/>
  <c r="K340" i="13"/>
  <c r="K421" i="13"/>
  <c r="K427" i="13"/>
  <c r="O439" i="13"/>
  <c r="K547" i="13"/>
  <c r="O566" i="8"/>
  <c r="K375" i="9"/>
  <c r="O568" i="9"/>
  <c r="K86" i="10"/>
  <c r="O437" i="10"/>
  <c r="K455" i="10"/>
  <c r="O457" i="10"/>
  <c r="K229" i="11"/>
  <c r="K270" i="13"/>
  <c r="O354" i="13"/>
  <c r="L252" i="14"/>
  <c r="L250" i="14" s="1"/>
  <c r="O250" i="14" s="1"/>
  <c r="K481" i="8"/>
  <c r="O584" i="8"/>
  <c r="K589" i="8"/>
  <c r="K149" i="9"/>
  <c r="K158" i="9"/>
  <c r="K328" i="9"/>
  <c r="K370" i="9"/>
  <c r="K380" i="9"/>
  <c r="K397" i="9"/>
  <c r="K427" i="9"/>
  <c r="K430" i="9"/>
  <c r="O383" i="10"/>
  <c r="K417" i="10"/>
  <c r="K422" i="10"/>
  <c r="O537" i="10"/>
  <c r="O551" i="10"/>
  <c r="K133" i="11"/>
  <c r="K185" i="11"/>
  <c r="L224" i="11"/>
  <c r="O224" i="11" s="1"/>
  <c r="L333" i="11"/>
  <c r="L331" i="11" s="1"/>
  <c r="L329" i="11" s="1"/>
  <c r="K92" i="12"/>
  <c r="K109" i="12"/>
  <c r="K132" i="12"/>
  <c r="K474" i="12"/>
  <c r="N142" i="13"/>
  <c r="O142" i="13" s="1"/>
  <c r="K189" i="13"/>
  <c r="K573" i="13"/>
  <c r="K630" i="13"/>
  <c r="N120" i="14"/>
  <c r="N118" i="14" s="1"/>
  <c r="N142" i="14"/>
  <c r="N140" i="14" s="1"/>
  <c r="K158" i="14"/>
  <c r="M252" i="14"/>
  <c r="O439" i="18"/>
  <c r="L34" i="18"/>
  <c r="L31" i="18"/>
  <c r="L29" i="18" s="1"/>
  <c r="O29" i="18" s="1"/>
  <c r="O456" i="18"/>
  <c r="K625" i="18"/>
  <c r="K626" i="18"/>
  <c r="K620" i="18"/>
  <c r="K428" i="9"/>
  <c r="K533" i="9"/>
  <c r="O535" i="9"/>
  <c r="K625" i="9"/>
  <c r="K668" i="9"/>
  <c r="K189" i="11"/>
  <c r="K199" i="11"/>
  <c r="K398" i="11"/>
  <c r="K417" i="11"/>
  <c r="K420" i="11"/>
  <c r="K423" i="11"/>
  <c r="K426" i="11"/>
  <c r="K435" i="11"/>
  <c r="O459" i="11"/>
  <c r="K498" i="11"/>
  <c r="K595" i="11"/>
  <c r="K618" i="11"/>
  <c r="J671" i="11"/>
  <c r="L23" i="12"/>
  <c r="O23" i="12" s="1"/>
  <c r="K112" i="12"/>
  <c r="K133" i="12"/>
  <c r="K219" i="12"/>
  <c r="K266" i="12"/>
  <c r="N331" i="12"/>
  <c r="N329" i="12" s="1"/>
  <c r="P329" i="12" s="1"/>
  <c r="K418" i="12"/>
  <c r="K424" i="12"/>
  <c r="K498" i="12"/>
  <c r="O144" i="13"/>
  <c r="M292" i="13"/>
  <c r="P292" i="13" s="1"/>
  <c r="L294" i="13"/>
  <c r="L292" i="13" s="1"/>
  <c r="K435" i="13"/>
  <c r="K481" i="13"/>
  <c r="O566" i="13"/>
  <c r="L314" i="14"/>
  <c r="K368" i="14"/>
  <c r="O383" i="14"/>
  <c r="O404" i="14"/>
  <c r="K430" i="14"/>
  <c r="K551" i="14"/>
  <c r="K621" i="14"/>
  <c r="K623" i="14"/>
  <c r="K625" i="14"/>
  <c r="K64" i="15"/>
  <c r="K88" i="15"/>
  <c r="K402" i="15"/>
  <c r="K416" i="15"/>
  <c r="O599" i="15"/>
  <c r="K633" i="15"/>
  <c r="K149" i="16"/>
  <c r="K158" i="16"/>
  <c r="K343" i="16"/>
  <c r="K349" i="16"/>
  <c r="O404" i="16"/>
  <c r="K418" i="16"/>
  <c r="K431" i="16"/>
  <c r="K451" i="16"/>
  <c r="K533" i="16"/>
  <c r="K547" i="16"/>
  <c r="K614" i="16"/>
  <c r="K626" i="16"/>
  <c r="K632" i="16"/>
  <c r="N55" i="17"/>
  <c r="N53" i="17" s="1"/>
  <c r="K219" i="17"/>
  <c r="K264" i="17"/>
  <c r="K267" i="17"/>
  <c r="K345" i="17"/>
  <c r="K547" i="17"/>
  <c r="O601" i="17"/>
  <c r="K82" i="18"/>
  <c r="L144" i="18"/>
  <c r="O144" i="18" s="1"/>
  <c r="K173" i="18"/>
  <c r="K219" i="18"/>
  <c r="N222" i="18"/>
  <c r="N220" i="18" s="1"/>
  <c r="O254" i="18"/>
  <c r="K370" i="18"/>
  <c r="K423" i="18"/>
  <c r="N32" i="18"/>
  <c r="N30" i="18" s="1"/>
  <c r="K629" i="14"/>
  <c r="K634" i="14"/>
  <c r="L57" i="15"/>
  <c r="O57" i="15" s="1"/>
  <c r="K82" i="15"/>
  <c r="N96" i="15"/>
  <c r="N94" i="15" s="1"/>
  <c r="K204" i="15"/>
  <c r="N273" i="15"/>
  <c r="N271" i="15" s="1"/>
  <c r="P271" i="15" s="1"/>
  <c r="O352" i="15"/>
  <c r="K376" i="15"/>
  <c r="K397" i="15"/>
  <c r="K422" i="15"/>
  <c r="K428" i="15"/>
  <c r="K450" i="15"/>
  <c r="K497" i="15"/>
  <c r="K634" i="15"/>
  <c r="N644" i="15"/>
  <c r="N640" i="15" s="1"/>
  <c r="N638" i="15" s="1"/>
  <c r="N636" i="15" s="1"/>
  <c r="K199" i="16"/>
  <c r="P224" i="16"/>
  <c r="N252" i="16"/>
  <c r="N250" i="16" s="1"/>
  <c r="K612" i="16"/>
  <c r="K624" i="16"/>
  <c r="K630" i="16"/>
  <c r="K199" i="17"/>
  <c r="N34" i="17"/>
  <c r="N14" i="17" s="1"/>
  <c r="N33" i="17"/>
  <c r="N13" i="17" s="1"/>
  <c r="K402" i="17"/>
  <c r="L640" i="17"/>
  <c r="L638" i="17" s="1"/>
  <c r="O665" i="17"/>
  <c r="K111" i="18"/>
  <c r="L224" i="18"/>
  <c r="O224" i="18" s="1"/>
  <c r="K266" i="18"/>
  <c r="K270" i="18"/>
  <c r="K396" i="18"/>
  <c r="K464" i="18"/>
  <c r="K533" i="18"/>
  <c r="K580" i="18"/>
  <c r="O584" i="18"/>
  <c r="K630" i="18"/>
  <c r="K635" i="18"/>
  <c r="K328" i="14"/>
  <c r="K372" i="14"/>
  <c r="K423" i="14"/>
  <c r="L294" i="15"/>
  <c r="K376" i="16"/>
  <c r="K402" i="16"/>
  <c r="K419" i="16"/>
  <c r="O435" i="16"/>
  <c r="K449" i="16"/>
  <c r="O455" i="16"/>
  <c r="K622" i="16"/>
  <c r="K108" i="17"/>
  <c r="K64" i="18"/>
  <c r="K593" i="14"/>
  <c r="K620" i="14"/>
  <c r="K622" i="14"/>
  <c r="K624" i="14"/>
  <c r="K630" i="14"/>
  <c r="K635" i="14"/>
  <c r="K173" i="15"/>
  <c r="O347" i="15"/>
  <c r="K350" i="15"/>
  <c r="O380" i="15"/>
  <c r="O401" i="15"/>
  <c r="K423" i="15"/>
  <c r="K426" i="15"/>
  <c r="K431" i="15"/>
  <c r="K465" i="15"/>
  <c r="K629" i="15"/>
  <c r="K635" i="15"/>
  <c r="O650" i="15"/>
  <c r="K81" i="16"/>
  <c r="K229" i="16"/>
  <c r="P254" i="16"/>
  <c r="K112" i="17"/>
  <c r="K117" i="17"/>
  <c r="L254" i="17"/>
  <c r="O254" i="17" s="1"/>
  <c r="L314" i="17"/>
  <c r="L312" i="17" s="1"/>
  <c r="O312" i="17" s="1"/>
  <c r="K350" i="17"/>
  <c r="K368" i="17"/>
  <c r="K401" i="17"/>
  <c r="O406" i="17"/>
  <c r="K449" i="17"/>
  <c r="K482" i="17"/>
  <c r="O551" i="17"/>
  <c r="N331" i="18"/>
  <c r="N329" i="18" s="1"/>
  <c r="O457" i="18"/>
  <c r="O599" i="18"/>
  <c r="N644" i="18"/>
  <c r="N640" i="18" s="1"/>
  <c r="N638" i="18" s="1"/>
  <c r="N636" i="18" s="1"/>
  <c r="O385" i="14"/>
  <c r="K419" i="14"/>
  <c r="O437" i="14"/>
  <c r="O580" i="14"/>
  <c r="K375" i="15"/>
  <c r="K432" i="15"/>
  <c r="O455" i="15"/>
  <c r="K547" i="15"/>
  <c r="O601" i="15"/>
  <c r="O649" i="15"/>
  <c r="O671" i="15"/>
  <c r="N43" i="16"/>
  <c r="N41" i="16" s="1"/>
  <c r="N55" i="16"/>
  <c r="N53" i="16" s="1"/>
  <c r="L70" i="16"/>
  <c r="O70" i="16" s="1"/>
  <c r="M96" i="16"/>
  <c r="P96" i="16" s="1"/>
  <c r="K133" i="16"/>
  <c r="K200" i="16"/>
  <c r="O383" i="16"/>
  <c r="K428" i="16"/>
  <c r="K450" i="16"/>
  <c r="K618" i="16"/>
  <c r="K663" i="16"/>
  <c r="P49" i="17"/>
  <c r="M120" i="17"/>
  <c r="M118" i="17" s="1"/>
  <c r="O380" i="17"/>
  <c r="O383" i="17"/>
  <c r="O401" i="17"/>
  <c r="K421" i="17"/>
  <c r="K427" i="17"/>
  <c r="O439" i="17"/>
  <c r="K450" i="17"/>
  <c r="K474" i="17"/>
  <c r="O597" i="17"/>
  <c r="K632" i="17"/>
  <c r="K81" i="18"/>
  <c r="K92" i="18"/>
  <c r="K285" i="18"/>
  <c r="K345" i="18"/>
  <c r="K349" i="18"/>
  <c r="O354" i="18"/>
  <c r="N34" i="18"/>
  <c r="N14" i="18" s="1"/>
  <c r="K417" i="18"/>
  <c r="K425" i="18"/>
  <c r="O455" i="18"/>
  <c r="K474" i="18"/>
  <c r="O597" i="18"/>
  <c r="O665" i="18"/>
  <c r="O668" i="18"/>
  <c r="M41" i="2"/>
  <c r="M118" i="2"/>
  <c r="I306" i="1"/>
  <c r="I342" i="1"/>
  <c r="K342" i="1" s="1"/>
  <c r="I423" i="1"/>
  <c r="L439" i="1"/>
  <c r="O439" i="1" s="1"/>
  <c r="L553" i="1"/>
  <c r="P224" i="2"/>
  <c r="K235" i="2"/>
  <c r="O403" i="2"/>
  <c r="J425" i="1"/>
  <c r="K425" i="1" s="1"/>
  <c r="I469" i="1"/>
  <c r="K469" i="1" s="1"/>
  <c r="K471" i="2"/>
  <c r="I505" i="1"/>
  <c r="K505" i="1" s="1"/>
  <c r="K507" i="2"/>
  <c r="O551" i="2"/>
  <c r="L61" i="1"/>
  <c r="O61" i="1" s="1"/>
  <c r="J105" i="1"/>
  <c r="L144" i="3"/>
  <c r="O144" i="3" s="1"/>
  <c r="J154" i="1"/>
  <c r="K164" i="3"/>
  <c r="J202" i="1"/>
  <c r="J210" i="1"/>
  <c r="K229" i="3"/>
  <c r="K265" i="3"/>
  <c r="L314" i="3"/>
  <c r="L333" i="3"/>
  <c r="O333" i="3" s="1"/>
  <c r="O352" i="3"/>
  <c r="K381" i="3"/>
  <c r="K428" i="3"/>
  <c r="J510" i="1"/>
  <c r="I186" i="1"/>
  <c r="I324" i="1"/>
  <c r="I420" i="1"/>
  <c r="L47" i="1"/>
  <c r="N26" i="2"/>
  <c r="N16" i="2" s="1"/>
  <c r="N273" i="2"/>
  <c r="K309" i="2"/>
  <c r="M329" i="2"/>
  <c r="K345" i="2"/>
  <c r="K398" i="2"/>
  <c r="K418" i="2"/>
  <c r="K426" i="2"/>
  <c r="K432" i="2"/>
  <c r="O458" i="2"/>
  <c r="J483" i="1"/>
  <c r="K485" i="2"/>
  <c r="O535" i="2"/>
  <c r="O564" i="2"/>
  <c r="K575" i="2"/>
  <c r="O598" i="2"/>
  <c r="K671" i="2"/>
  <c r="L26" i="3"/>
  <c r="I81" i="1"/>
  <c r="I87" i="1"/>
  <c r="J106" i="1"/>
  <c r="J109" i="1"/>
  <c r="L124" i="1"/>
  <c r="J131" i="1"/>
  <c r="J155" i="1"/>
  <c r="J159" i="1"/>
  <c r="J164" i="1"/>
  <c r="I367" i="3"/>
  <c r="K367" i="3" s="1"/>
  <c r="O405" i="3"/>
  <c r="N438" i="1"/>
  <c r="J451" i="1"/>
  <c r="J474" i="1"/>
  <c r="J486" i="1"/>
  <c r="J498" i="1"/>
  <c r="P70" i="4"/>
  <c r="M68" i="4"/>
  <c r="P68" i="4" s="1"/>
  <c r="I80" i="1"/>
  <c r="I430" i="1"/>
  <c r="L435" i="1"/>
  <c r="J560" i="1"/>
  <c r="K158" i="2"/>
  <c r="J197" i="1"/>
  <c r="L275" i="2"/>
  <c r="L273" i="2" s="1"/>
  <c r="L271" i="2" s="1"/>
  <c r="K402" i="2"/>
  <c r="N408" i="1"/>
  <c r="J415" i="1"/>
  <c r="N440" i="1"/>
  <c r="J447" i="1"/>
  <c r="K451" i="2"/>
  <c r="K464" i="2"/>
  <c r="I481" i="1"/>
  <c r="K561" i="2"/>
  <c r="K561" i="1" s="1"/>
  <c r="O599" i="2"/>
  <c r="K614" i="2"/>
  <c r="K624" i="2"/>
  <c r="L649" i="1"/>
  <c r="K64" i="3"/>
  <c r="J87" i="1"/>
  <c r="K92" i="3"/>
  <c r="L24" i="3"/>
  <c r="O24" i="3" s="1"/>
  <c r="K372" i="3"/>
  <c r="K380" i="3"/>
  <c r="K396" i="3"/>
  <c r="K424" i="3"/>
  <c r="K482" i="3"/>
  <c r="N22" i="4"/>
  <c r="K618" i="2"/>
  <c r="I86" i="1"/>
  <c r="N32" i="2"/>
  <c r="N30" i="2" s="1"/>
  <c r="N41" i="2"/>
  <c r="K133" i="2"/>
  <c r="K164" i="2"/>
  <c r="I189" i="1"/>
  <c r="K199" i="2"/>
  <c r="N349" i="1"/>
  <c r="J392" i="1"/>
  <c r="L405" i="1"/>
  <c r="O405" i="1" s="1"/>
  <c r="K416" i="2"/>
  <c r="K424" i="2"/>
  <c r="K430" i="2"/>
  <c r="J495" i="1"/>
  <c r="K547" i="2"/>
  <c r="K564" i="2"/>
  <c r="O597" i="2"/>
  <c r="K82" i="3"/>
  <c r="I85" i="1"/>
  <c r="J117" i="1"/>
  <c r="J232" i="1"/>
  <c r="J236" i="1"/>
  <c r="J241" i="1"/>
  <c r="J245" i="1"/>
  <c r="K270" i="3"/>
  <c r="J308" i="1"/>
  <c r="J324" i="1"/>
  <c r="K370" i="3"/>
  <c r="O404" i="3"/>
  <c r="N34" i="3"/>
  <c r="N14" i="3" s="1"/>
  <c r="K422" i="3"/>
  <c r="O439" i="3"/>
  <c r="I84" i="1"/>
  <c r="L406" i="1"/>
  <c r="I668" i="1"/>
  <c r="L57" i="2"/>
  <c r="O57" i="2" s="1"/>
  <c r="J88" i="1"/>
  <c r="K88" i="1" s="1"/>
  <c r="L122" i="2"/>
  <c r="L145" i="1"/>
  <c r="L347" i="1"/>
  <c r="O380" i="2"/>
  <c r="K401" i="2"/>
  <c r="K422" i="2"/>
  <c r="K449" i="2"/>
  <c r="O455" i="2"/>
  <c r="K482" i="2"/>
  <c r="I493" i="1"/>
  <c r="K493" i="1" s="1"/>
  <c r="K498" i="2"/>
  <c r="O555" i="2"/>
  <c r="L57" i="3"/>
  <c r="O57" i="3" s="1"/>
  <c r="I65" i="1"/>
  <c r="K88" i="3"/>
  <c r="J213" i="1"/>
  <c r="K213" i="1" s="1"/>
  <c r="L222" i="3"/>
  <c r="L220" i="3" s="1"/>
  <c r="J242" i="1"/>
  <c r="J246" i="1"/>
  <c r="J264" i="1"/>
  <c r="N333" i="1"/>
  <c r="N358" i="1"/>
  <c r="K368" i="3"/>
  <c r="N380" i="1"/>
  <c r="K402" i="3"/>
  <c r="K420" i="3"/>
  <c r="K432" i="3"/>
  <c r="O437" i="3"/>
  <c r="K466" i="3"/>
  <c r="I592" i="1"/>
  <c r="K592" i="1" s="1"/>
  <c r="N43" i="4"/>
  <c r="N41" i="4" s="1"/>
  <c r="P45" i="4"/>
  <c r="K533" i="3"/>
  <c r="J578" i="1"/>
  <c r="I618" i="1"/>
  <c r="L57" i="4"/>
  <c r="L55" i="4" s="1"/>
  <c r="L53" i="4" s="1"/>
  <c r="N66" i="4"/>
  <c r="J81" i="1"/>
  <c r="N96" i="4"/>
  <c r="N94" i="4" s="1"/>
  <c r="L352" i="1"/>
  <c r="K377" i="4"/>
  <c r="O380" i="4"/>
  <c r="N34" i="4"/>
  <c r="N14" i="4" s="1"/>
  <c r="K629" i="4"/>
  <c r="K634" i="4"/>
  <c r="K112" i="5"/>
  <c r="K117" i="5"/>
  <c r="K133" i="5"/>
  <c r="K450" i="5"/>
  <c r="K465" i="5"/>
  <c r="K497" i="5"/>
  <c r="O566" i="5"/>
  <c r="K85" i="6"/>
  <c r="J185" i="1"/>
  <c r="O347" i="6"/>
  <c r="I367" i="6"/>
  <c r="K367" i="6" s="1"/>
  <c r="L275" i="7"/>
  <c r="O275" i="7" s="1"/>
  <c r="N565" i="1"/>
  <c r="L640" i="3"/>
  <c r="O640" i="3" s="1"/>
  <c r="L23" i="4"/>
  <c r="O23" i="4" s="1"/>
  <c r="L122" i="4"/>
  <c r="J138" i="1"/>
  <c r="J184" i="1"/>
  <c r="J203" i="1"/>
  <c r="J211" i="1"/>
  <c r="J215" i="1"/>
  <c r="J243" i="1"/>
  <c r="J270" i="1"/>
  <c r="M312" i="4"/>
  <c r="K341" i="4"/>
  <c r="O347" i="4"/>
  <c r="K350" i="4"/>
  <c r="O404" i="4"/>
  <c r="K564" i="4"/>
  <c r="O568" i="4"/>
  <c r="O584" i="4"/>
  <c r="K625" i="4"/>
  <c r="K229" i="5"/>
  <c r="K343" i="5"/>
  <c r="K466" i="5"/>
  <c r="K473" i="5"/>
  <c r="L32" i="6"/>
  <c r="L30" i="6" s="1"/>
  <c r="K65" i="6"/>
  <c r="L122" i="6"/>
  <c r="O122" i="6" s="1"/>
  <c r="J134" i="1"/>
  <c r="O566" i="6"/>
  <c r="K619" i="6"/>
  <c r="K617" i="6"/>
  <c r="K611" i="6"/>
  <c r="K613" i="6"/>
  <c r="P314" i="7"/>
  <c r="M312" i="7"/>
  <c r="P312" i="7" s="1"/>
  <c r="K631" i="3"/>
  <c r="N644" i="3"/>
  <c r="N640" i="3" s="1"/>
  <c r="N638" i="3" s="1"/>
  <c r="N636" i="3" s="1"/>
  <c r="J676" i="1"/>
  <c r="I133" i="1"/>
  <c r="J234" i="1"/>
  <c r="K264" i="4"/>
  <c r="N294" i="1"/>
  <c r="K375" i="4"/>
  <c r="J596" i="1"/>
  <c r="L24" i="5"/>
  <c r="O24" i="5" s="1"/>
  <c r="O564" i="5"/>
  <c r="P98" i="6"/>
  <c r="K266" i="6"/>
  <c r="N292" i="6"/>
  <c r="N290" i="6" s="1"/>
  <c r="K345" i="6"/>
  <c r="K626" i="6"/>
  <c r="K625" i="6"/>
  <c r="L331" i="7"/>
  <c r="L329" i="7" s="1"/>
  <c r="K591" i="3"/>
  <c r="J625" i="1"/>
  <c r="K629" i="3"/>
  <c r="N26" i="4"/>
  <c r="N16" i="4" s="1"/>
  <c r="K88" i="4"/>
  <c r="O102" i="4"/>
  <c r="N142" i="4"/>
  <c r="N140" i="4" s="1"/>
  <c r="K216" i="4"/>
  <c r="K229" i="4"/>
  <c r="M252" i="4"/>
  <c r="K345" i="4"/>
  <c r="K376" i="4"/>
  <c r="N31" i="4"/>
  <c r="N29" i="4" s="1"/>
  <c r="O566" i="4"/>
  <c r="K623" i="4"/>
  <c r="K663" i="4"/>
  <c r="L32" i="5"/>
  <c r="L30" i="5" s="1"/>
  <c r="K108" i="5"/>
  <c r="K132" i="5"/>
  <c r="L144" i="5"/>
  <c r="K341" i="5"/>
  <c r="K426" i="5"/>
  <c r="K449" i="5"/>
  <c r="K464" i="5"/>
  <c r="O533" i="5"/>
  <c r="K573" i="5"/>
  <c r="K617" i="5"/>
  <c r="K631" i="5"/>
  <c r="K634" i="5"/>
  <c r="K84" i="6"/>
  <c r="K112" i="6"/>
  <c r="N126" i="1"/>
  <c r="K249" i="6"/>
  <c r="K267" i="6"/>
  <c r="M292" i="6"/>
  <c r="K376" i="6"/>
  <c r="K401" i="6"/>
  <c r="L31" i="6"/>
  <c r="L29" i="6" s="1"/>
  <c r="O439" i="6"/>
  <c r="J576" i="1"/>
  <c r="O649" i="6"/>
  <c r="M74" i="7"/>
  <c r="P74" i="7" s="1"/>
  <c r="O74" i="7"/>
  <c r="K216" i="7"/>
  <c r="N534" i="1"/>
  <c r="N541" i="1"/>
  <c r="J594" i="1"/>
  <c r="O601" i="3"/>
  <c r="K635" i="3"/>
  <c r="M43" i="4"/>
  <c r="M41" i="4" s="1"/>
  <c r="P102" i="4"/>
  <c r="K164" i="4"/>
  <c r="K173" i="4"/>
  <c r="L254" i="4"/>
  <c r="L252" i="4" s="1"/>
  <c r="L250" i="4" s="1"/>
  <c r="J261" i="1"/>
  <c r="L275" i="4"/>
  <c r="O275" i="4" s="1"/>
  <c r="J282" i="1"/>
  <c r="J286" i="1"/>
  <c r="M290" i="4"/>
  <c r="P290" i="4" s="1"/>
  <c r="L314" i="4"/>
  <c r="K340" i="4"/>
  <c r="L384" i="1"/>
  <c r="O384" i="1" s="1"/>
  <c r="N387" i="1"/>
  <c r="K401" i="4"/>
  <c r="N409" i="1"/>
  <c r="K416" i="4"/>
  <c r="J418" i="1"/>
  <c r="K428" i="4"/>
  <c r="J430" i="1"/>
  <c r="K430" i="1" s="1"/>
  <c r="K498" i="4"/>
  <c r="K533" i="4"/>
  <c r="O535" i="4"/>
  <c r="O601" i="4"/>
  <c r="K633" i="4"/>
  <c r="N102" i="1"/>
  <c r="K164" i="5"/>
  <c r="K173" i="5"/>
  <c r="L254" i="5"/>
  <c r="O333" i="5"/>
  <c r="N384" i="1"/>
  <c r="O406" i="5"/>
  <c r="K424" i="5"/>
  <c r="K435" i="5"/>
  <c r="O457" i="5"/>
  <c r="N34" i="5"/>
  <c r="N14" i="5" s="1"/>
  <c r="K482" i="5"/>
  <c r="N536" i="1"/>
  <c r="N540" i="1"/>
  <c r="K547" i="5"/>
  <c r="J580" i="1"/>
  <c r="O582" i="5"/>
  <c r="K629" i="5"/>
  <c r="L45" i="6"/>
  <c r="O45" i="6" s="1"/>
  <c r="K64" i="6"/>
  <c r="J79" i="1"/>
  <c r="K92" i="6"/>
  <c r="L98" i="6"/>
  <c r="L96" i="6" s="1"/>
  <c r="K110" i="6"/>
  <c r="P122" i="6"/>
  <c r="J196" i="1"/>
  <c r="J200" i="1"/>
  <c r="L294" i="6"/>
  <c r="L292" i="6" s="1"/>
  <c r="K426" i="6"/>
  <c r="K630" i="6"/>
  <c r="K633" i="6"/>
  <c r="O648" i="6"/>
  <c r="L640" i="6"/>
  <c r="L638" i="6" s="1"/>
  <c r="P98" i="7"/>
  <c r="M96" i="7"/>
  <c r="M94" i="7" s="1"/>
  <c r="J628" i="1"/>
  <c r="J188" i="1"/>
  <c r="P254" i="7"/>
  <c r="M252" i="7"/>
  <c r="P252" i="7" s="1"/>
  <c r="K369" i="7"/>
  <c r="I367" i="7"/>
  <c r="K367" i="7" s="1"/>
  <c r="J655" i="1"/>
  <c r="J661" i="1"/>
  <c r="M41" i="10"/>
  <c r="K377" i="7"/>
  <c r="K427" i="7"/>
  <c r="K466" i="7"/>
  <c r="K589" i="7"/>
  <c r="K117" i="8"/>
  <c r="K265" i="8"/>
  <c r="O349" i="8"/>
  <c r="K401" i="8"/>
  <c r="O435" i="8"/>
  <c r="J624" i="1"/>
  <c r="K635" i="8"/>
  <c r="M292" i="9"/>
  <c r="K345" i="9"/>
  <c r="K613" i="9"/>
  <c r="O651" i="9"/>
  <c r="K466" i="6"/>
  <c r="K473" i="6"/>
  <c r="O601" i="6"/>
  <c r="O661" i="6"/>
  <c r="O49" i="7"/>
  <c r="N96" i="7"/>
  <c r="N94" i="7" s="1"/>
  <c r="K158" i="7"/>
  <c r="K200" i="7"/>
  <c r="K204" i="7"/>
  <c r="K213" i="7"/>
  <c r="J321" i="1"/>
  <c r="N32" i="7"/>
  <c r="N30" i="7" s="1"/>
  <c r="K422" i="7"/>
  <c r="K425" i="7"/>
  <c r="O580" i="7"/>
  <c r="K611" i="7"/>
  <c r="K613" i="7"/>
  <c r="K615" i="7"/>
  <c r="K617" i="7"/>
  <c r="K619" i="7"/>
  <c r="K621" i="7"/>
  <c r="K623" i="7"/>
  <c r="K625" i="7"/>
  <c r="K83" i="8"/>
  <c r="K113" i="8"/>
  <c r="O318" i="8"/>
  <c r="O352" i="8"/>
  <c r="K398" i="8"/>
  <c r="O459" i="8"/>
  <c r="K466" i="8"/>
  <c r="K547" i="8"/>
  <c r="O554" i="8"/>
  <c r="K624" i="8"/>
  <c r="K628" i="8"/>
  <c r="J651" i="8"/>
  <c r="N222" i="9"/>
  <c r="N220" i="9" s="1"/>
  <c r="M252" i="9"/>
  <c r="M273" i="9"/>
  <c r="P273" i="9" s="1"/>
  <c r="N331" i="9"/>
  <c r="N329" i="9" s="1"/>
  <c r="N31" i="9"/>
  <c r="N29" i="9" s="1"/>
  <c r="J376" i="1"/>
  <c r="N386" i="1"/>
  <c r="J393" i="1"/>
  <c r="J401" i="1"/>
  <c r="N33" i="9"/>
  <c r="N13" i="9" s="1"/>
  <c r="K473" i="9"/>
  <c r="K564" i="9"/>
  <c r="K573" i="9"/>
  <c r="K611" i="9"/>
  <c r="J634" i="1"/>
  <c r="O651" i="6"/>
  <c r="J231" i="1"/>
  <c r="N331" i="7"/>
  <c r="N329" i="7" s="1"/>
  <c r="O347" i="7"/>
  <c r="O383" i="7"/>
  <c r="K65" i="8"/>
  <c r="K204" i="8"/>
  <c r="N605" i="1"/>
  <c r="J611" i="1"/>
  <c r="K622" i="8"/>
  <c r="P224" i="9"/>
  <c r="O337" i="9"/>
  <c r="K343" i="9"/>
  <c r="O354" i="9"/>
  <c r="K398" i="9"/>
  <c r="K426" i="9"/>
  <c r="K450" i="9"/>
  <c r="K474" i="9"/>
  <c r="O533" i="9"/>
  <c r="K580" i="9"/>
  <c r="K617" i="9"/>
  <c r="K629" i="9"/>
  <c r="K632" i="9"/>
  <c r="K635" i="9"/>
  <c r="J651" i="9"/>
  <c r="K651" i="9" s="1"/>
  <c r="N26" i="10"/>
  <c r="N16" i="10" s="1"/>
  <c r="P45" i="10"/>
  <c r="K81" i="10"/>
  <c r="N33" i="6"/>
  <c r="N13" i="6" s="1"/>
  <c r="K428" i="6"/>
  <c r="K464" i="6"/>
  <c r="K482" i="6"/>
  <c r="K499" i="6"/>
  <c r="O533" i="6"/>
  <c r="K573" i="6"/>
  <c r="K663" i="6"/>
  <c r="K173" i="7"/>
  <c r="K219" i="7"/>
  <c r="K328" i="7"/>
  <c r="O337" i="7"/>
  <c r="K381" i="7"/>
  <c r="K417" i="7"/>
  <c r="K420" i="7"/>
  <c r="K423" i="7"/>
  <c r="K431" i="7"/>
  <c r="K455" i="7"/>
  <c r="O459" i="7"/>
  <c r="K595" i="7"/>
  <c r="O599" i="7"/>
  <c r="L26" i="8"/>
  <c r="L16" i="8" s="1"/>
  <c r="P224" i="8"/>
  <c r="L275" i="8"/>
  <c r="O275" i="8" s="1"/>
  <c r="L333" i="8"/>
  <c r="L331" i="8" s="1"/>
  <c r="K396" i="8"/>
  <c r="K450" i="8"/>
  <c r="K498" i="8"/>
  <c r="K564" i="8"/>
  <c r="O568" i="8"/>
  <c r="K620" i="8"/>
  <c r="K634" i="8"/>
  <c r="N22" i="9"/>
  <c r="L292" i="9"/>
  <c r="K371" i="9"/>
  <c r="N34" i="9"/>
  <c r="N14" i="9" s="1"/>
  <c r="M96" i="10"/>
  <c r="P96" i="10" s="1"/>
  <c r="O254" i="10"/>
  <c r="L252" i="10"/>
  <c r="L250" i="10" s="1"/>
  <c r="O250" i="10" s="1"/>
  <c r="K648" i="6"/>
  <c r="K81" i="7"/>
  <c r="K87" i="7"/>
  <c r="K112" i="7"/>
  <c r="L122" i="7"/>
  <c r="O122" i="7" s="1"/>
  <c r="L294" i="7"/>
  <c r="L292" i="7" s="1"/>
  <c r="O292" i="7" s="1"/>
  <c r="K345" i="7"/>
  <c r="K349" i="7"/>
  <c r="K396" i="7"/>
  <c r="K449" i="7"/>
  <c r="K465" i="7"/>
  <c r="K474" i="7"/>
  <c r="K498" i="7"/>
  <c r="K593" i="7"/>
  <c r="O597" i="7"/>
  <c r="K612" i="7"/>
  <c r="K614" i="7"/>
  <c r="K616" i="7"/>
  <c r="K620" i="7"/>
  <c r="K622" i="7"/>
  <c r="K624" i="7"/>
  <c r="O49" i="8"/>
  <c r="K82" i="8"/>
  <c r="K189" i="8"/>
  <c r="K235" i="8"/>
  <c r="L294" i="8"/>
  <c r="K368" i="8"/>
  <c r="K435" i="8"/>
  <c r="K482" i="8"/>
  <c r="K533" i="8"/>
  <c r="O535" i="8"/>
  <c r="O580" i="8"/>
  <c r="O599" i="8"/>
  <c r="J663" i="1"/>
  <c r="L98" i="9"/>
  <c r="L122" i="9"/>
  <c r="K350" i="9"/>
  <c r="N32" i="9"/>
  <c r="N30" i="9" s="1"/>
  <c r="K372" i="9"/>
  <c r="O380" i="9"/>
  <c r="K422" i="9"/>
  <c r="K435" i="9"/>
  <c r="O564" i="9"/>
  <c r="O597" i="9"/>
  <c r="K633" i="9"/>
  <c r="K665" i="9"/>
  <c r="L70" i="10"/>
  <c r="N96" i="10"/>
  <c r="N94" i="10" s="1"/>
  <c r="K149" i="10"/>
  <c r="P294" i="10"/>
  <c r="O555" i="10"/>
  <c r="K564" i="10"/>
  <c r="O568" i="10"/>
  <c r="J76" i="1"/>
  <c r="K449" i="11"/>
  <c r="N31" i="11"/>
  <c r="K630" i="11"/>
  <c r="K665" i="11"/>
  <c r="K267" i="12"/>
  <c r="K375" i="12"/>
  <c r="K397" i="12"/>
  <c r="K449" i="12"/>
  <c r="O597" i="12"/>
  <c r="K613" i="12"/>
  <c r="K618" i="12"/>
  <c r="K625" i="12"/>
  <c r="P333" i="13"/>
  <c r="K621" i="13"/>
  <c r="L45" i="14"/>
  <c r="L43" i="14" s="1"/>
  <c r="L41" i="14" s="1"/>
  <c r="N22" i="14"/>
  <c r="N55" i="14"/>
  <c r="N53" i="14" s="1"/>
  <c r="K199" i="14"/>
  <c r="O582" i="14"/>
  <c r="P294" i="15"/>
  <c r="M292" i="15"/>
  <c r="P292" i="15" s="1"/>
  <c r="L33" i="15"/>
  <c r="O33" i="15" s="1"/>
  <c r="O384" i="15"/>
  <c r="K270" i="10"/>
  <c r="L331" i="10"/>
  <c r="L329" i="10" s="1"/>
  <c r="K396" i="10"/>
  <c r="O580" i="10"/>
  <c r="M68" i="11"/>
  <c r="L122" i="11"/>
  <c r="K235" i="11"/>
  <c r="K267" i="11"/>
  <c r="O537" i="11"/>
  <c r="K613" i="11"/>
  <c r="M96" i="12"/>
  <c r="M94" i="12" s="1"/>
  <c r="K419" i="12"/>
  <c r="K611" i="12"/>
  <c r="K616" i="12"/>
  <c r="K623" i="12"/>
  <c r="M120" i="13"/>
  <c r="M142" i="13"/>
  <c r="L224" i="13"/>
  <c r="L222" i="13" s="1"/>
  <c r="L220" i="13" s="1"/>
  <c r="K376" i="13"/>
  <c r="N32" i="13"/>
  <c r="N30" i="13" s="1"/>
  <c r="K619" i="13"/>
  <c r="K481" i="10"/>
  <c r="O564" i="10"/>
  <c r="K149" i="11"/>
  <c r="K349" i="11"/>
  <c r="K370" i="11"/>
  <c r="K396" i="11"/>
  <c r="K424" i="11"/>
  <c r="K611" i="11"/>
  <c r="K619" i="11"/>
  <c r="K628" i="11"/>
  <c r="L122" i="12"/>
  <c r="P224" i="12"/>
  <c r="K235" i="12"/>
  <c r="O337" i="12"/>
  <c r="K350" i="12"/>
  <c r="K417" i="12"/>
  <c r="K614" i="12"/>
  <c r="N273" i="13"/>
  <c r="P273" i="13" s="1"/>
  <c r="K425" i="13"/>
  <c r="K428" i="13"/>
  <c r="O582" i="13"/>
  <c r="K611" i="13"/>
  <c r="K628" i="13"/>
  <c r="N644" i="13"/>
  <c r="N640" i="13" s="1"/>
  <c r="N638" i="13" s="1"/>
  <c r="N636" i="13" s="1"/>
  <c r="O144" i="14"/>
  <c r="P314" i="14"/>
  <c r="M312" i="14"/>
  <c r="P312" i="14" s="1"/>
  <c r="K482" i="10"/>
  <c r="K265" i="11"/>
  <c r="K617" i="11"/>
  <c r="N644" i="11"/>
  <c r="N640" i="11" s="1"/>
  <c r="N638" i="11" s="1"/>
  <c r="N636" i="11" s="1"/>
  <c r="O102" i="12"/>
  <c r="K110" i="12"/>
  <c r="N250" i="12"/>
  <c r="P337" i="12"/>
  <c r="K341" i="12"/>
  <c r="O437" i="12"/>
  <c r="K612" i="12"/>
  <c r="K619" i="12"/>
  <c r="P57" i="13"/>
  <c r="P275" i="13"/>
  <c r="K372" i="13"/>
  <c r="O437" i="13"/>
  <c r="K466" i="13"/>
  <c r="K617" i="13"/>
  <c r="M290" i="10"/>
  <c r="P290" i="10" s="1"/>
  <c r="P333" i="10"/>
  <c r="N34" i="11"/>
  <c r="N14" i="11" s="1"/>
  <c r="K625" i="11"/>
  <c r="O49" i="12"/>
  <c r="P102" i="12"/>
  <c r="K264" i="12"/>
  <c r="L312" i="12"/>
  <c r="O312" i="12" s="1"/>
  <c r="O404" i="12"/>
  <c r="N31" i="12"/>
  <c r="N29" i="12" s="1"/>
  <c r="O566" i="12"/>
  <c r="K617" i="12"/>
  <c r="O665" i="12"/>
  <c r="P70" i="13"/>
  <c r="K343" i="13"/>
  <c r="K625" i="13"/>
  <c r="J651" i="13"/>
  <c r="L23" i="14"/>
  <c r="O23" i="14" s="1"/>
  <c r="O584" i="14"/>
  <c r="K398" i="15"/>
  <c r="N331" i="10"/>
  <c r="N329" i="10" s="1"/>
  <c r="L33" i="10"/>
  <c r="O33" i="10" s="1"/>
  <c r="K65" i="11"/>
  <c r="K249" i="11"/>
  <c r="K266" i="11"/>
  <c r="K340" i="11"/>
  <c r="O349" i="11"/>
  <c r="K573" i="11"/>
  <c r="K615" i="11"/>
  <c r="K623" i="11"/>
  <c r="O349" i="12"/>
  <c r="K499" i="12"/>
  <c r="N644" i="12"/>
  <c r="N640" i="12" s="1"/>
  <c r="N638" i="12" s="1"/>
  <c r="N636" i="12" s="1"/>
  <c r="J671" i="12"/>
  <c r="L70" i="13"/>
  <c r="L68" i="13" s="1"/>
  <c r="K158" i="13"/>
  <c r="O401" i="13"/>
  <c r="O404" i="13"/>
  <c r="K615" i="13"/>
  <c r="K623" i="13"/>
  <c r="K635" i="13"/>
  <c r="K113" i="14"/>
  <c r="K612" i="18"/>
  <c r="K614" i="18"/>
  <c r="K616" i="18"/>
  <c r="N96" i="14"/>
  <c r="N94" i="14" s="1"/>
  <c r="P224" i="14"/>
  <c r="P275" i="14"/>
  <c r="K345" i="14"/>
  <c r="K349" i="14"/>
  <c r="K474" i="14"/>
  <c r="K482" i="14"/>
  <c r="K589" i="14"/>
  <c r="K595" i="14"/>
  <c r="K612" i="14"/>
  <c r="K614" i="14"/>
  <c r="K616" i="14"/>
  <c r="K618" i="14"/>
  <c r="L70" i="15"/>
  <c r="O70" i="15" s="1"/>
  <c r="K133" i="15"/>
  <c r="N142" i="15"/>
  <c r="N140" i="15" s="1"/>
  <c r="P275" i="15"/>
  <c r="N331" i="15"/>
  <c r="N329" i="15" s="1"/>
  <c r="K345" i="15"/>
  <c r="O404" i="15"/>
  <c r="K427" i="15"/>
  <c r="K464" i="15"/>
  <c r="K473" i="15"/>
  <c r="K482" i="15"/>
  <c r="K499" i="15"/>
  <c r="O535" i="15"/>
  <c r="M53" i="16"/>
  <c r="P53" i="16" s="1"/>
  <c r="K189" i="16"/>
  <c r="P222" i="16"/>
  <c r="M250" i="16"/>
  <c r="P250" i="16" s="1"/>
  <c r="L331" i="17"/>
  <c r="L329" i="17" s="1"/>
  <c r="O333" i="17"/>
  <c r="N55" i="18"/>
  <c r="N53" i="18" s="1"/>
  <c r="P53" i="18" s="1"/>
  <c r="P57" i="18"/>
  <c r="O352" i="18"/>
  <c r="L32" i="18"/>
  <c r="L98" i="14"/>
  <c r="L96" i="14" s="1"/>
  <c r="L94" i="14" s="1"/>
  <c r="K189" i="14"/>
  <c r="N222" i="14"/>
  <c r="K235" i="14"/>
  <c r="L275" i="14"/>
  <c r="O275" i="14" s="1"/>
  <c r="K381" i="14"/>
  <c r="O401" i="14"/>
  <c r="K427" i="14"/>
  <c r="K499" i="14"/>
  <c r="L122" i="15"/>
  <c r="O122" i="15" s="1"/>
  <c r="P144" i="15"/>
  <c r="K149" i="15"/>
  <c r="K158" i="15"/>
  <c r="L275" i="15"/>
  <c r="O275" i="15" s="1"/>
  <c r="L333" i="15"/>
  <c r="O333" i="15" s="1"/>
  <c r="K343" i="15"/>
  <c r="K377" i="15"/>
  <c r="K396" i="15"/>
  <c r="J575" i="1"/>
  <c r="N582" i="1"/>
  <c r="K597" i="15"/>
  <c r="O661" i="15"/>
  <c r="L122" i="16"/>
  <c r="L120" i="16" s="1"/>
  <c r="M142" i="16"/>
  <c r="M220" i="16"/>
  <c r="O74" i="17"/>
  <c r="L26" i="17"/>
  <c r="L16" i="17" s="1"/>
  <c r="M273" i="18"/>
  <c r="K289" i="18"/>
  <c r="K416" i="18"/>
  <c r="K428" i="14"/>
  <c r="N26" i="15"/>
  <c r="N16" i="15" s="1"/>
  <c r="L31" i="15"/>
  <c r="J651" i="15"/>
  <c r="K651" i="15" s="1"/>
  <c r="P57" i="17"/>
  <c r="M55" i="17"/>
  <c r="M53" i="17" s="1"/>
  <c r="N26" i="14"/>
  <c r="N16" i="14" s="1"/>
  <c r="O102" i="14"/>
  <c r="M292" i="14"/>
  <c r="K397" i="14"/>
  <c r="K455" i="14"/>
  <c r="O457" i="14"/>
  <c r="K497" i="14"/>
  <c r="K560" i="14"/>
  <c r="K611" i="14"/>
  <c r="K613" i="14"/>
  <c r="K615" i="14"/>
  <c r="K617" i="14"/>
  <c r="N644" i="14"/>
  <c r="N640" i="14" s="1"/>
  <c r="N638" i="14" s="1"/>
  <c r="N636" i="14" s="1"/>
  <c r="K80" i="15"/>
  <c r="K216" i="15"/>
  <c r="O337" i="15"/>
  <c r="I367" i="15"/>
  <c r="K367" i="15" s="1"/>
  <c r="N34" i="15"/>
  <c r="N14" i="15" s="1"/>
  <c r="K421" i="15"/>
  <c r="K650" i="15"/>
  <c r="L31" i="17"/>
  <c r="L11" i="17" s="1"/>
  <c r="L9" i="17" s="1"/>
  <c r="L33" i="17"/>
  <c r="O33" i="17" s="1"/>
  <c r="O279" i="18"/>
  <c r="K93" i="14"/>
  <c r="M102" i="14"/>
  <c r="P102" i="14" s="1"/>
  <c r="K108" i="14"/>
  <c r="L122" i="14"/>
  <c r="L120" i="14" s="1"/>
  <c r="K149" i="14"/>
  <c r="M222" i="14"/>
  <c r="M220" i="14" s="1"/>
  <c r="K341" i="14"/>
  <c r="K401" i="14"/>
  <c r="K449" i="14"/>
  <c r="O455" i="14"/>
  <c r="N32" i="14"/>
  <c r="N30" i="14" s="1"/>
  <c r="K465" i="14"/>
  <c r="K473" i="14"/>
  <c r="O599" i="14"/>
  <c r="L26" i="15"/>
  <c r="L16" i="15" s="1"/>
  <c r="O16" i="15" s="1"/>
  <c r="N66" i="15"/>
  <c r="K213" i="15"/>
  <c r="M337" i="15"/>
  <c r="P337" i="15" s="1"/>
  <c r="O349" i="15"/>
  <c r="O351" i="15"/>
  <c r="K370" i="15"/>
  <c r="K401" i="15"/>
  <c r="O406" i="15"/>
  <c r="K419" i="15"/>
  <c r="K435" i="15"/>
  <c r="K498" i="15"/>
  <c r="O568" i="15"/>
  <c r="K573" i="15"/>
  <c r="K630" i="15"/>
  <c r="K649" i="15"/>
  <c r="O668" i="15"/>
  <c r="K85" i="16"/>
  <c r="N94" i="16"/>
  <c r="K117" i="16"/>
  <c r="L144" i="16"/>
  <c r="N220" i="16"/>
  <c r="O385" i="16"/>
  <c r="K425" i="16"/>
  <c r="P312" i="17"/>
  <c r="M310" i="17"/>
  <c r="P310" i="17" s="1"/>
  <c r="L34" i="17"/>
  <c r="N312" i="16"/>
  <c r="N310" i="16" s="1"/>
  <c r="K350" i="16"/>
  <c r="K401" i="16"/>
  <c r="K416" i="16"/>
  <c r="O457" i="16"/>
  <c r="K499" i="16"/>
  <c r="K132" i="17"/>
  <c r="K186" i="17"/>
  <c r="K266" i="17"/>
  <c r="M273" i="17"/>
  <c r="P273" i="17" s="1"/>
  <c r="M292" i="17"/>
  <c r="P292" i="17" s="1"/>
  <c r="K343" i="17"/>
  <c r="O349" i="17"/>
  <c r="K375" i="17"/>
  <c r="K481" i="17"/>
  <c r="O555" i="17"/>
  <c r="O566" i="17"/>
  <c r="K629" i="17"/>
  <c r="L26" i="18"/>
  <c r="O26" i="18" s="1"/>
  <c r="K158" i="18"/>
  <c r="K164" i="18"/>
  <c r="K309" i="18"/>
  <c r="O383" i="18"/>
  <c r="K421" i="18"/>
  <c r="K482" i="18"/>
  <c r="K497" i="18"/>
  <c r="O564" i="18"/>
  <c r="K595" i="18"/>
  <c r="K632" i="18"/>
  <c r="O651" i="18"/>
  <c r="K668" i="18"/>
  <c r="K340" i="16"/>
  <c r="K426" i="16"/>
  <c r="K481" i="16"/>
  <c r="M102" i="17"/>
  <c r="P102" i="17" s="1"/>
  <c r="O459" i="17"/>
  <c r="O535" i="17"/>
  <c r="O553" i="17"/>
  <c r="K625" i="17"/>
  <c r="K635" i="17"/>
  <c r="L70" i="18"/>
  <c r="L68" i="18" s="1"/>
  <c r="P294" i="18"/>
  <c r="L314" i="18"/>
  <c r="K350" i="18"/>
  <c r="K376" i="18"/>
  <c r="K381" i="18"/>
  <c r="K611" i="16"/>
  <c r="K613" i="16"/>
  <c r="K615" i="16"/>
  <c r="K617" i="16"/>
  <c r="K621" i="16"/>
  <c r="K623" i="16"/>
  <c r="L24" i="17"/>
  <c r="P98" i="17"/>
  <c r="N26" i="17"/>
  <c r="N16" i="17" s="1"/>
  <c r="J325" i="1"/>
  <c r="O457" i="17"/>
  <c r="O49" i="18"/>
  <c r="P55" i="18"/>
  <c r="K88" i="18"/>
  <c r="K199" i="18"/>
  <c r="K429" i="18"/>
  <c r="K547" i="18"/>
  <c r="N31" i="18"/>
  <c r="N29" i="18" s="1"/>
  <c r="N28" i="18" s="1"/>
  <c r="K591" i="18"/>
  <c r="K624" i="18"/>
  <c r="K372" i="16"/>
  <c r="K396" i="16"/>
  <c r="O406" i="16"/>
  <c r="K422" i="16"/>
  <c r="K466" i="16"/>
  <c r="K474" i="16"/>
  <c r="K482" i="16"/>
  <c r="O49" i="17"/>
  <c r="K111" i="17"/>
  <c r="K249" i="17"/>
  <c r="N273" i="17"/>
  <c r="N271" i="17" s="1"/>
  <c r="K349" i="17"/>
  <c r="K429" i="17"/>
  <c r="O455" i="17"/>
  <c r="K465" i="17"/>
  <c r="K623" i="17"/>
  <c r="K663" i="17"/>
  <c r="K65" i="18"/>
  <c r="K328" i="18"/>
  <c r="K377" i="18"/>
  <c r="K427" i="18"/>
  <c r="K481" i="18"/>
  <c r="K498" i="18"/>
  <c r="K589" i="18"/>
  <c r="K622" i="18"/>
  <c r="O650" i="18"/>
  <c r="O671" i="18"/>
  <c r="N290" i="16"/>
  <c r="K370" i="16"/>
  <c r="K420" i="16"/>
  <c r="K432" i="16"/>
  <c r="K464" i="16"/>
  <c r="K498" i="16"/>
  <c r="K580" i="16"/>
  <c r="J651" i="16"/>
  <c r="K651" i="16" s="1"/>
  <c r="K92" i="17"/>
  <c r="L98" i="17"/>
  <c r="K164" i="17"/>
  <c r="K173" i="17"/>
  <c r="M252" i="17"/>
  <c r="K265" i="17"/>
  <c r="L294" i="17"/>
  <c r="K398" i="17"/>
  <c r="O568" i="17"/>
  <c r="K628" i="17"/>
  <c r="K631" i="17"/>
  <c r="K83" i="18"/>
  <c r="K86" i="18"/>
  <c r="K113" i="18"/>
  <c r="P144" i="18"/>
  <c r="M292" i="18"/>
  <c r="M290" i="18" s="1"/>
  <c r="K402" i="18"/>
  <c r="K465" i="18"/>
  <c r="K499" i="18"/>
  <c r="O568" i="18"/>
  <c r="K573" i="18"/>
  <c r="P19" i="4"/>
  <c r="O25" i="1"/>
  <c r="L15" i="1"/>
  <c r="O15" i="1" s="1"/>
  <c r="N19" i="1"/>
  <c r="P11" i="1"/>
  <c r="O333" i="2"/>
  <c r="L331" i="2"/>
  <c r="P11" i="4"/>
  <c r="K216" i="2"/>
  <c r="I216" i="1"/>
  <c r="L581" i="1"/>
  <c r="O581" i="1" s="1"/>
  <c r="O581" i="2"/>
  <c r="O330" i="4"/>
  <c r="M66" i="18"/>
  <c r="P254" i="2"/>
  <c r="M254" i="1"/>
  <c r="P254" i="1" s="1"/>
  <c r="J267" i="1"/>
  <c r="P292" i="2"/>
  <c r="I328" i="1"/>
  <c r="K328" i="2"/>
  <c r="K341" i="2"/>
  <c r="N351" i="1"/>
  <c r="I373" i="1"/>
  <c r="K373" i="1" s="1"/>
  <c r="K373" i="2"/>
  <c r="N34" i="2"/>
  <c r="N14" i="2" s="1"/>
  <c r="N385" i="1"/>
  <c r="O401" i="2"/>
  <c r="K419" i="2"/>
  <c r="K431" i="2"/>
  <c r="J452" i="1"/>
  <c r="K455" i="2"/>
  <c r="L32" i="2"/>
  <c r="O457" i="2"/>
  <c r="J505" i="1"/>
  <c r="L534" i="1"/>
  <c r="O534" i="1" s="1"/>
  <c r="O534" i="2"/>
  <c r="N558" i="1"/>
  <c r="I580" i="1"/>
  <c r="K580" i="2"/>
  <c r="K595" i="2"/>
  <c r="I628" i="1"/>
  <c r="K628" i="2"/>
  <c r="M13" i="3"/>
  <c r="P13" i="3" s="1"/>
  <c r="P21" i="3"/>
  <c r="M11" i="3"/>
  <c r="N33" i="3"/>
  <c r="N13" i="3" s="1"/>
  <c r="O102" i="3"/>
  <c r="L102" i="1"/>
  <c r="L126" i="1"/>
  <c r="O126" i="1" s="1"/>
  <c r="O126" i="3"/>
  <c r="K201" i="3"/>
  <c r="N251" i="1"/>
  <c r="K264" i="3"/>
  <c r="L276" i="1"/>
  <c r="L275" i="3"/>
  <c r="L34" i="3"/>
  <c r="O354" i="3"/>
  <c r="O380" i="3"/>
  <c r="K625" i="3"/>
  <c r="O24" i="4"/>
  <c r="K81" i="4"/>
  <c r="K138" i="4"/>
  <c r="M222" i="4"/>
  <c r="K238" i="4"/>
  <c r="I238" i="1"/>
  <c r="K238" i="1" s="1"/>
  <c r="N292" i="4"/>
  <c r="N290" i="4" s="1"/>
  <c r="P330" i="4"/>
  <c r="I367" i="4"/>
  <c r="K367" i="4" s="1"/>
  <c r="K628" i="4"/>
  <c r="N22" i="5"/>
  <c r="P57" i="5"/>
  <c r="N55" i="5"/>
  <c r="P55" i="5" s="1"/>
  <c r="P95" i="5"/>
  <c r="N141" i="1"/>
  <c r="P224" i="5"/>
  <c r="L331" i="5"/>
  <c r="O337" i="5"/>
  <c r="K580" i="5"/>
  <c r="N15" i="6"/>
  <c r="N19" i="6"/>
  <c r="M53" i="6"/>
  <c r="L26" i="6"/>
  <c r="O74" i="6"/>
  <c r="P19" i="7"/>
  <c r="O535" i="7"/>
  <c r="L32" i="7"/>
  <c r="M14" i="8"/>
  <c r="P14" i="8" s="1"/>
  <c r="P24" i="8"/>
  <c r="L31" i="9"/>
  <c r="K229" i="9"/>
  <c r="I229" i="1"/>
  <c r="N22" i="11"/>
  <c r="N96" i="11"/>
  <c r="N94" i="11" s="1"/>
  <c r="K173" i="3"/>
  <c r="I173" i="1"/>
  <c r="P54" i="4"/>
  <c r="M53" i="4"/>
  <c r="K249" i="4"/>
  <c r="I249" i="1"/>
  <c r="P330" i="6"/>
  <c r="L19" i="7"/>
  <c r="O25" i="7"/>
  <c r="L15" i="7"/>
  <c r="O15" i="7" s="1"/>
  <c r="M224" i="1"/>
  <c r="I488" i="1"/>
  <c r="K488" i="1" s="1"/>
  <c r="I496" i="1"/>
  <c r="K496" i="1" s="1"/>
  <c r="P25" i="2"/>
  <c r="M15" i="2"/>
  <c r="P15" i="2" s="1"/>
  <c r="N70" i="1"/>
  <c r="N22" i="2"/>
  <c r="M19" i="1"/>
  <c r="P25" i="1"/>
  <c r="M15" i="1"/>
  <c r="P15" i="1" s="1"/>
  <c r="N74" i="1"/>
  <c r="L100" i="1"/>
  <c r="I112" i="1"/>
  <c r="N224" i="1"/>
  <c r="N272" i="1"/>
  <c r="I344" i="1"/>
  <c r="K344" i="1" s="1"/>
  <c r="I401" i="1"/>
  <c r="L404" i="1"/>
  <c r="L555" i="1"/>
  <c r="I594" i="1"/>
  <c r="K594" i="1" s="1"/>
  <c r="L599" i="1"/>
  <c r="I650" i="1"/>
  <c r="L31" i="2"/>
  <c r="N68" i="2"/>
  <c r="N66" i="2" s="1"/>
  <c r="K92" i="2"/>
  <c r="K117" i="2"/>
  <c r="I117" i="1"/>
  <c r="K132" i="2"/>
  <c r="K149" i="2"/>
  <c r="K204" i="2"/>
  <c r="M222" i="2"/>
  <c r="M220" i="2" s="1"/>
  <c r="L225" i="1"/>
  <c r="O291" i="2"/>
  <c r="L291" i="1"/>
  <c r="O291" i="1" s="1"/>
  <c r="N312" i="2"/>
  <c r="K339" i="2"/>
  <c r="O351" i="2"/>
  <c r="I371" i="1"/>
  <c r="K371" i="1" s="1"/>
  <c r="K371" i="2"/>
  <c r="O385" i="2"/>
  <c r="I397" i="1"/>
  <c r="K397" i="2"/>
  <c r="K417" i="2"/>
  <c r="K429" i="2"/>
  <c r="K452" i="2"/>
  <c r="J467" i="1"/>
  <c r="K469" i="2"/>
  <c r="K481" i="2"/>
  <c r="K493" i="2"/>
  <c r="K505" i="2"/>
  <c r="I533" i="1"/>
  <c r="K533" i="2"/>
  <c r="I578" i="1"/>
  <c r="K578" i="1" s="1"/>
  <c r="K578" i="2"/>
  <c r="K593" i="2"/>
  <c r="L648" i="1"/>
  <c r="L640" i="2"/>
  <c r="N649" i="1"/>
  <c r="O650" i="2"/>
  <c r="M19" i="3"/>
  <c r="N19" i="3"/>
  <c r="M22" i="3"/>
  <c r="M57" i="1"/>
  <c r="P57" i="3"/>
  <c r="K65" i="3"/>
  <c r="K85" i="3"/>
  <c r="P95" i="3"/>
  <c r="L98" i="3"/>
  <c r="M102" i="3"/>
  <c r="M96" i="3" s="1"/>
  <c r="L122" i="3"/>
  <c r="P141" i="3"/>
  <c r="M141" i="1"/>
  <c r="P141" i="1" s="1"/>
  <c r="N331" i="3"/>
  <c r="K340" i="3"/>
  <c r="K376" i="3"/>
  <c r="K401" i="3"/>
  <c r="K592" i="3"/>
  <c r="K623" i="3"/>
  <c r="P24" i="4"/>
  <c r="M14" i="4"/>
  <c r="P14" i="4" s="1"/>
  <c r="O67" i="4"/>
  <c r="M96" i="4"/>
  <c r="M120" i="4"/>
  <c r="P120" i="4" s="1"/>
  <c r="K133" i="4"/>
  <c r="M142" i="4"/>
  <c r="N222" i="4"/>
  <c r="N220" i="4" s="1"/>
  <c r="N330" i="1"/>
  <c r="K619" i="4"/>
  <c r="P70" i="5"/>
  <c r="M22" i="5"/>
  <c r="M140" i="5"/>
  <c r="M337" i="5"/>
  <c r="L24" i="6"/>
  <c r="O141" i="6"/>
  <c r="O337" i="6"/>
  <c r="M9" i="8"/>
  <c r="P11" i="8"/>
  <c r="L222" i="9"/>
  <c r="O224" i="9"/>
  <c r="L26" i="11"/>
  <c r="O61" i="11"/>
  <c r="M70" i="1"/>
  <c r="P70" i="2"/>
  <c r="M22" i="2"/>
  <c r="O459" i="2"/>
  <c r="L34" i="2"/>
  <c r="L536" i="1"/>
  <c r="O536" i="1" s="1"/>
  <c r="O536" i="2"/>
  <c r="O352" i="4"/>
  <c r="L32" i="4"/>
  <c r="N291" i="1"/>
  <c r="I472" i="1"/>
  <c r="K472" i="1" s="1"/>
  <c r="I476" i="1"/>
  <c r="K476" i="1" s="1"/>
  <c r="I484" i="1"/>
  <c r="K484" i="1" s="1"/>
  <c r="I508" i="1"/>
  <c r="K508" i="1" s="1"/>
  <c r="P23" i="2"/>
  <c r="M13" i="2"/>
  <c r="P13" i="2" s="1"/>
  <c r="M68" i="2"/>
  <c r="P21" i="1"/>
  <c r="P31" i="1"/>
  <c r="M29" i="1"/>
  <c r="I82" i="1"/>
  <c r="M122" i="1"/>
  <c r="I244" i="1"/>
  <c r="K244" i="1" s="1"/>
  <c r="L330" i="1"/>
  <c r="O330" i="1" s="1"/>
  <c r="I424" i="1"/>
  <c r="N459" i="1"/>
  <c r="I577" i="1"/>
  <c r="K577" i="1" s="1"/>
  <c r="L582" i="1"/>
  <c r="I631" i="1"/>
  <c r="P31" i="2"/>
  <c r="M29" i="2"/>
  <c r="N33" i="2"/>
  <c r="N13" i="2" s="1"/>
  <c r="N98" i="1"/>
  <c r="L146" i="1"/>
  <c r="O221" i="2"/>
  <c r="L221" i="1"/>
  <c r="O221" i="1" s="1"/>
  <c r="M252" i="2"/>
  <c r="J262" i="1"/>
  <c r="M290" i="2"/>
  <c r="L318" i="1"/>
  <c r="O318" i="1" s="1"/>
  <c r="O318" i="2"/>
  <c r="N347" i="1"/>
  <c r="O349" i="2"/>
  <c r="I369" i="1"/>
  <c r="K369" i="2"/>
  <c r="O383" i="2"/>
  <c r="K427" i="2"/>
  <c r="K450" i="2"/>
  <c r="K467" i="2"/>
  <c r="K479" i="2"/>
  <c r="J489" i="1"/>
  <c r="K491" i="2"/>
  <c r="K503" i="2"/>
  <c r="K515" i="2"/>
  <c r="I576" i="1"/>
  <c r="K576" i="1" s="1"/>
  <c r="K576" i="2"/>
  <c r="K591" i="2"/>
  <c r="N604" i="1"/>
  <c r="I611" i="1"/>
  <c r="K619" i="2"/>
  <c r="K617" i="2"/>
  <c r="K615" i="2"/>
  <c r="K613" i="2"/>
  <c r="K611" i="2"/>
  <c r="N644" i="2"/>
  <c r="N640" i="2" s="1"/>
  <c r="N638" i="2" s="1"/>
  <c r="N636" i="2" s="1"/>
  <c r="O649" i="2"/>
  <c r="M14" i="3"/>
  <c r="P14" i="3" s="1"/>
  <c r="O25" i="3"/>
  <c r="L15" i="3"/>
  <c r="O15" i="3" s="1"/>
  <c r="L32" i="3"/>
  <c r="P54" i="3"/>
  <c r="M53" i="3"/>
  <c r="N57" i="1"/>
  <c r="O61" i="3"/>
  <c r="J77" i="1"/>
  <c r="K83" i="3"/>
  <c r="J93" i="1"/>
  <c r="P98" i="3"/>
  <c r="M98" i="1"/>
  <c r="I113" i="1"/>
  <c r="K113" i="3"/>
  <c r="M144" i="1"/>
  <c r="P144" i="3"/>
  <c r="J187" i="1"/>
  <c r="J195" i="1"/>
  <c r="K200" i="3"/>
  <c r="I200" i="1"/>
  <c r="K200" i="1" s="1"/>
  <c r="M221" i="1"/>
  <c r="P221" i="1" s="1"/>
  <c r="P221" i="3"/>
  <c r="M291" i="1"/>
  <c r="P291" i="1" s="1"/>
  <c r="P291" i="3"/>
  <c r="L337" i="1"/>
  <c r="O337" i="3"/>
  <c r="N32" i="3"/>
  <c r="N30" i="3" s="1"/>
  <c r="O119" i="4"/>
  <c r="O337" i="4"/>
  <c r="N33" i="5"/>
  <c r="N13" i="5" s="1"/>
  <c r="P122" i="5"/>
  <c r="M120" i="5"/>
  <c r="M118" i="5" s="1"/>
  <c r="N222" i="5"/>
  <c r="P333" i="5"/>
  <c r="K132" i="6"/>
  <c r="I132" i="1"/>
  <c r="K132" i="1" s="1"/>
  <c r="L252" i="6"/>
  <c r="M337" i="6"/>
  <c r="P337" i="6" s="1"/>
  <c r="P70" i="7"/>
  <c r="L24" i="8"/>
  <c r="N67" i="1"/>
  <c r="P251" i="2"/>
  <c r="I435" i="1"/>
  <c r="K435" i="2"/>
  <c r="O119" i="3"/>
  <c r="L119" i="1"/>
  <c r="O119" i="1" s="1"/>
  <c r="K618" i="4"/>
  <c r="K616" i="4"/>
  <c r="K614" i="4"/>
  <c r="K612" i="4"/>
  <c r="K611" i="4"/>
  <c r="K613" i="4"/>
  <c r="K618" i="5"/>
  <c r="K616" i="5"/>
  <c r="K614" i="5"/>
  <c r="K612" i="5"/>
  <c r="K619" i="5"/>
  <c r="K611" i="5"/>
  <c r="K613" i="5"/>
  <c r="O102" i="8"/>
  <c r="M102" i="8"/>
  <c r="P102" i="8" s="1"/>
  <c r="N292" i="8"/>
  <c r="N290" i="8" s="1"/>
  <c r="N22" i="8"/>
  <c r="P254" i="12"/>
  <c r="M252" i="12"/>
  <c r="L640" i="18"/>
  <c r="O648" i="18"/>
  <c r="L380" i="1"/>
  <c r="I270" i="1"/>
  <c r="M330" i="1"/>
  <c r="P330" i="1" s="1"/>
  <c r="I368" i="1"/>
  <c r="I449" i="1"/>
  <c r="L457" i="1"/>
  <c r="I482" i="1"/>
  <c r="I494" i="1"/>
  <c r="K494" i="1" s="1"/>
  <c r="I510" i="1"/>
  <c r="K510" i="1" s="1"/>
  <c r="I564" i="1"/>
  <c r="N671" i="1"/>
  <c r="P24" i="2"/>
  <c r="M14" i="2"/>
  <c r="P14" i="2" s="1"/>
  <c r="N31" i="2"/>
  <c r="L45" i="2"/>
  <c r="L144" i="2"/>
  <c r="K189" i="2"/>
  <c r="N252" i="2"/>
  <c r="L256" i="1"/>
  <c r="L272" i="1"/>
  <c r="O272" i="1" s="1"/>
  <c r="O272" i="2"/>
  <c r="L294" i="2"/>
  <c r="P311" i="2"/>
  <c r="M310" i="2"/>
  <c r="L314" i="2"/>
  <c r="J345" i="1"/>
  <c r="O347" i="2"/>
  <c r="I367" i="2"/>
  <c r="K367" i="2" s="1"/>
  <c r="K381" i="2"/>
  <c r="N405" i="1"/>
  <c r="K425" i="2"/>
  <c r="L438" i="1"/>
  <c r="O438" i="1" s="1"/>
  <c r="O438" i="2"/>
  <c r="K465" i="2"/>
  <c r="K477" i="2"/>
  <c r="K489" i="2"/>
  <c r="J499" i="1"/>
  <c r="K501" i="2"/>
  <c r="K513" i="2"/>
  <c r="I573" i="1"/>
  <c r="K573" i="2"/>
  <c r="N585" i="1"/>
  <c r="I634" i="1"/>
  <c r="K634" i="2"/>
  <c r="O648" i="2"/>
  <c r="J656" i="1"/>
  <c r="L661" i="1"/>
  <c r="O668" i="2"/>
  <c r="N22" i="3"/>
  <c r="P25" i="3"/>
  <c r="M15" i="3"/>
  <c r="P15" i="3" s="1"/>
  <c r="P32" i="3"/>
  <c r="M30" i="3"/>
  <c r="N53" i="3"/>
  <c r="M68" i="3"/>
  <c r="L23" i="3"/>
  <c r="K81" i="3"/>
  <c r="J89" i="1"/>
  <c r="K93" i="3"/>
  <c r="I111" i="1"/>
  <c r="K111" i="3"/>
  <c r="J113" i="1"/>
  <c r="K185" i="3"/>
  <c r="I185" i="1"/>
  <c r="N228" i="1"/>
  <c r="J233" i="1"/>
  <c r="J237" i="1"/>
  <c r="N298" i="1"/>
  <c r="I304" i="1"/>
  <c r="K304" i="3"/>
  <c r="P330" i="3"/>
  <c r="M329" i="3"/>
  <c r="K349" i="3"/>
  <c r="K464" i="3"/>
  <c r="N19" i="4"/>
  <c r="M30" i="4"/>
  <c r="P30" i="4" s="1"/>
  <c r="N55" i="4"/>
  <c r="P55" i="4" s="1"/>
  <c r="L26" i="4"/>
  <c r="O221" i="4"/>
  <c r="K267" i="4"/>
  <c r="I267" i="1"/>
  <c r="M337" i="4"/>
  <c r="P337" i="4" s="1"/>
  <c r="O597" i="4"/>
  <c r="K615" i="4"/>
  <c r="L640" i="4"/>
  <c r="N644" i="4"/>
  <c r="N640" i="4" s="1"/>
  <c r="N638" i="4" s="1"/>
  <c r="N636" i="4" s="1"/>
  <c r="P25" i="5"/>
  <c r="M15" i="5"/>
  <c r="P15" i="5" s="1"/>
  <c r="M19" i="5"/>
  <c r="L31" i="5"/>
  <c r="M53" i="5"/>
  <c r="N122" i="1"/>
  <c r="N120" i="5"/>
  <c r="K416" i="5"/>
  <c r="K428" i="5"/>
  <c r="K615" i="5"/>
  <c r="L640" i="5"/>
  <c r="N644" i="5"/>
  <c r="N640" i="5" s="1"/>
  <c r="N638" i="5" s="1"/>
  <c r="N636" i="5" s="1"/>
  <c r="O67" i="6"/>
  <c r="N222" i="6"/>
  <c r="P224" i="6"/>
  <c r="P333" i="6"/>
  <c r="K418" i="6"/>
  <c r="K430" i="6"/>
  <c r="N34" i="6"/>
  <c r="N14" i="6" s="1"/>
  <c r="P42" i="7"/>
  <c r="P330" i="11"/>
  <c r="K93" i="13"/>
  <c r="I93" i="1"/>
  <c r="I630" i="1"/>
  <c r="K630" i="2"/>
  <c r="P31" i="4"/>
  <c r="M29" i="4"/>
  <c r="O384" i="4"/>
  <c r="L33" i="4"/>
  <c r="O33" i="4" s="1"/>
  <c r="O119" i="6"/>
  <c r="P32" i="7"/>
  <c r="M30" i="7"/>
  <c r="P30" i="7" s="1"/>
  <c r="P291" i="8"/>
  <c r="O272" i="12"/>
  <c r="P24" i="1"/>
  <c r="M14" i="1"/>
  <c r="P14" i="1" s="1"/>
  <c r="P32" i="1"/>
  <c r="M30" i="1"/>
  <c r="P30" i="1" s="1"/>
  <c r="N61" i="1"/>
  <c r="M251" i="1"/>
  <c r="P251" i="1" s="1"/>
  <c r="I266" i="1"/>
  <c r="M311" i="1"/>
  <c r="P311" i="1" s="1"/>
  <c r="O354" i="1"/>
  <c r="L382" i="1"/>
  <c r="O382" i="1" s="1"/>
  <c r="I416" i="1"/>
  <c r="I428" i="1"/>
  <c r="I547" i="1"/>
  <c r="K649" i="1"/>
  <c r="M11" i="2"/>
  <c r="M19" i="2"/>
  <c r="L74" i="1"/>
  <c r="L26" i="2"/>
  <c r="L224" i="2"/>
  <c r="L258" i="1"/>
  <c r="O258" i="1" s="1"/>
  <c r="O258" i="2"/>
  <c r="M272" i="1"/>
  <c r="P272" i="1" s="1"/>
  <c r="P272" i="2"/>
  <c r="P275" i="2"/>
  <c r="I285" i="1"/>
  <c r="K285" i="2"/>
  <c r="P314" i="2"/>
  <c r="M314" i="1"/>
  <c r="L33" i="2"/>
  <c r="O33" i="2" s="1"/>
  <c r="L353" i="1"/>
  <c r="J377" i="1"/>
  <c r="O405" i="2"/>
  <c r="L436" i="1"/>
  <c r="O436" i="1" s="1"/>
  <c r="O436" i="2"/>
  <c r="K475" i="2"/>
  <c r="K487" i="2"/>
  <c r="K499" i="2"/>
  <c r="K511" i="2"/>
  <c r="O566" i="2"/>
  <c r="O568" i="2"/>
  <c r="L583" i="1"/>
  <c r="O583" i="1" s="1"/>
  <c r="O583" i="2"/>
  <c r="K616" i="2"/>
  <c r="I632" i="1"/>
  <c r="K632" i="1" s="1"/>
  <c r="K632" i="2"/>
  <c r="J657" i="1"/>
  <c r="J651" i="2"/>
  <c r="I665" i="1"/>
  <c r="K665" i="2"/>
  <c r="O67" i="3"/>
  <c r="L72" i="1"/>
  <c r="I109" i="1"/>
  <c r="K109" i="3"/>
  <c r="J111" i="1"/>
  <c r="M120" i="3"/>
  <c r="M142" i="3"/>
  <c r="M222" i="3"/>
  <c r="O228" i="3"/>
  <c r="J304" i="1"/>
  <c r="P333" i="3"/>
  <c r="M333" i="1"/>
  <c r="N31" i="3"/>
  <c r="N29" i="3" s="1"/>
  <c r="O406" i="3"/>
  <c r="K451" i="3"/>
  <c r="K474" i="3"/>
  <c r="K498" i="3"/>
  <c r="K547" i="3"/>
  <c r="K626" i="3"/>
  <c r="K624" i="3"/>
  <c r="K622" i="3"/>
  <c r="K620" i="3"/>
  <c r="P23" i="4"/>
  <c r="M13" i="4"/>
  <c r="P13" i="4" s="1"/>
  <c r="P25" i="4"/>
  <c r="M15" i="4"/>
  <c r="P15" i="4" s="1"/>
  <c r="L31" i="4"/>
  <c r="P57" i="4"/>
  <c r="M22" i="4"/>
  <c r="P95" i="4"/>
  <c r="P141" i="4"/>
  <c r="K265" i="4"/>
  <c r="I265" i="1"/>
  <c r="P333" i="4"/>
  <c r="O354" i="4"/>
  <c r="L34" i="4"/>
  <c r="K418" i="4"/>
  <c r="K430" i="4"/>
  <c r="N15" i="5"/>
  <c r="N19" i="5"/>
  <c r="P31" i="5"/>
  <c r="M29" i="5"/>
  <c r="M11" i="5"/>
  <c r="P98" i="5"/>
  <c r="P102" i="5"/>
  <c r="K111" i="5"/>
  <c r="P330" i="5"/>
  <c r="I367" i="5"/>
  <c r="K367" i="5" s="1"/>
  <c r="P31" i="6"/>
  <c r="M29" i="6"/>
  <c r="M11" i="6"/>
  <c r="K416" i="6"/>
  <c r="N32" i="6"/>
  <c r="N30" i="6" s="1"/>
  <c r="K634" i="6"/>
  <c r="K665" i="6"/>
  <c r="L254" i="7"/>
  <c r="P333" i="8"/>
  <c r="K619" i="8"/>
  <c r="K617" i="8"/>
  <c r="K615" i="8"/>
  <c r="K613" i="8"/>
  <c r="K611" i="8"/>
  <c r="K612" i="8"/>
  <c r="K616" i="8"/>
  <c r="K614" i="8"/>
  <c r="K618" i="8"/>
  <c r="N19" i="10"/>
  <c r="P291" i="11"/>
  <c r="M290" i="11"/>
  <c r="P290" i="11" s="1"/>
  <c r="O74" i="12"/>
  <c r="M74" i="12"/>
  <c r="K455" i="12"/>
  <c r="I455" i="1"/>
  <c r="L640" i="15"/>
  <c r="O648" i="15"/>
  <c r="O251" i="15"/>
  <c r="P32" i="6"/>
  <c r="M30" i="6"/>
  <c r="P30" i="6" s="1"/>
  <c r="P67" i="6"/>
  <c r="L33" i="6"/>
  <c r="O33" i="6" s="1"/>
  <c r="O384" i="6"/>
  <c r="O95" i="8"/>
  <c r="O384" i="9"/>
  <c r="L33" i="9"/>
  <c r="O33" i="9" s="1"/>
  <c r="O439" i="9"/>
  <c r="L34" i="9"/>
  <c r="P32" i="10"/>
  <c r="M30" i="10"/>
  <c r="P30" i="10" s="1"/>
  <c r="K621" i="2"/>
  <c r="K623" i="2"/>
  <c r="P24" i="5"/>
  <c r="M14" i="5"/>
  <c r="P14" i="5" s="1"/>
  <c r="P32" i="5"/>
  <c r="M30" i="5"/>
  <c r="P30" i="5" s="1"/>
  <c r="N331" i="5"/>
  <c r="N329" i="5" s="1"/>
  <c r="L23" i="6"/>
  <c r="N66" i="6"/>
  <c r="P70" i="6"/>
  <c r="M22" i="6"/>
  <c r="M102" i="6"/>
  <c r="M96" i="6" s="1"/>
  <c r="N118" i="6"/>
  <c r="K270" i="6"/>
  <c r="N331" i="6"/>
  <c r="N329" i="6" s="1"/>
  <c r="K424" i="6"/>
  <c r="O459" i="6"/>
  <c r="O597" i="6"/>
  <c r="O102" i="7"/>
  <c r="O221" i="7"/>
  <c r="O272" i="7"/>
  <c r="O291" i="7"/>
  <c r="K350" i="7"/>
  <c r="O353" i="7"/>
  <c r="L33" i="7"/>
  <c r="O33" i="7" s="1"/>
  <c r="K547" i="7"/>
  <c r="P95" i="8"/>
  <c r="N33" i="8"/>
  <c r="N13" i="8" s="1"/>
  <c r="O439" i="8"/>
  <c r="L34" i="8"/>
  <c r="L23" i="9"/>
  <c r="L70" i="9"/>
  <c r="O95" i="9"/>
  <c r="N142" i="9"/>
  <c r="P142" i="9" s="1"/>
  <c r="M220" i="9"/>
  <c r="P221" i="9"/>
  <c r="O601" i="9"/>
  <c r="O67" i="10"/>
  <c r="P141" i="11"/>
  <c r="M140" i="11"/>
  <c r="M11" i="15"/>
  <c r="P21" i="15"/>
  <c r="M19" i="15"/>
  <c r="P24" i="6"/>
  <c r="M14" i="6"/>
  <c r="P14" i="6" s="1"/>
  <c r="M118" i="7"/>
  <c r="P118" i="7" s="1"/>
  <c r="P119" i="7"/>
  <c r="O403" i="7"/>
  <c r="L31" i="7"/>
  <c r="P330" i="8"/>
  <c r="P11" i="10"/>
  <c r="P19" i="10"/>
  <c r="L21" i="1"/>
  <c r="K612" i="3"/>
  <c r="K614" i="3"/>
  <c r="K616" i="3"/>
  <c r="N331" i="4"/>
  <c r="N329" i="4" s="1"/>
  <c r="L23" i="5"/>
  <c r="L26" i="5"/>
  <c r="O74" i="5"/>
  <c r="N31" i="5"/>
  <c r="N29" i="5" s="1"/>
  <c r="O599" i="5"/>
  <c r="O25" i="6"/>
  <c r="L15" i="6"/>
  <c r="O15" i="6" s="1"/>
  <c r="N22" i="6"/>
  <c r="M142" i="6"/>
  <c r="O148" i="6"/>
  <c r="N31" i="6"/>
  <c r="N29" i="6" s="1"/>
  <c r="O380" i="6"/>
  <c r="K422" i="6"/>
  <c r="O436" i="6"/>
  <c r="O457" i="6"/>
  <c r="N26" i="7"/>
  <c r="N16" i="7" s="1"/>
  <c r="L24" i="7"/>
  <c r="O648" i="7"/>
  <c r="L640" i="7"/>
  <c r="M142" i="8"/>
  <c r="O404" i="8"/>
  <c r="N32" i="8"/>
  <c r="N30" i="8" s="1"/>
  <c r="P21" i="9"/>
  <c r="M11" i="9"/>
  <c r="M19" i="9"/>
  <c r="M43" i="9"/>
  <c r="M22" i="9"/>
  <c r="L57" i="9"/>
  <c r="L24" i="9"/>
  <c r="P98" i="9"/>
  <c r="M96" i="9"/>
  <c r="P96" i="9" s="1"/>
  <c r="L640" i="9"/>
  <c r="O671" i="9"/>
  <c r="O19" i="10"/>
  <c r="P144" i="11"/>
  <c r="N142" i="11"/>
  <c r="N140" i="11" s="1"/>
  <c r="M30" i="14"/>
  <c r="P30" i="14" s="1"/>
  <c r="P32" i="14"/>
  <c r="P119" i="6"/>
  <c r="P25" i="7"/>
  <c r="M15" i="7"/>
  <c r="P15" i="7" s="1"/>
  <c r="M331" i="7"/>
  <c r="P337" i="7"/>
  <c r="O67" i="8"/>
  <c r="N22" i="10"/>
  <c r="P57" i="10"/>
  <c r="N55" i="10"/>
  <c r="N53" i="10" s="1"/>
  <c r="O581" i="10"/>
  <c r="L31" i="10"/>
  <c r="P24" i="12"/>
  <c r="M14" i="12"/>
  <c r="P14" i="12" s="1"/>
  <c r="O49" i="13"/>
  <c r="L26" i="13"/>
  <c r="K270" i="4"/>
  <c r="K420" i="4"/>
  <c r="K432" i="4"/>
  <c r="O551" i="4"/>
  <c r="O599" i="4"/>
  <c r="O25" i="5"/>
  <c r="L15" i="5"/>
  <c r="O15" i="5" s="1"/>
  <c r="P67" i="5"/>
  <c r="M66" i="5"/>
  <c r="P66" i="5" s="1"/>
  <c r="O102" i="5"/>
  <c r="P119" i="5"/>
  <c r="P144" i="5"/>
  <c r="K270" i="5"/>
  <c r="O354" i="5"/>
  <c r="L34" i="5"/>
  <c r="L33" i="5"/>
  <c r="O33" i="5" s="1"/>
  <c r="O384" i="5"/>
  <c r="K430" i="5"/>
  <c r="O459" i="5"/>
  <c r="O597" i="5"/>
  <c r="P25" i="6"/>
  <c r="M15" i="6"/>
  <c r="P15" i="6" s="1"/>
  <c r="M68" i="6"/>
  <c r="P68" i="6" s="1"/>
  <c r="M120" i="6"/>
  <c r="P120" i="6" s="1"/>
  <c r="N142" i="6"/>
  <c r="K200" i="6"/>
  <c r="O354" i="6"/>
  <c r="L34" i="6"/>
  <c r="K420" i="6"/>
  <c r="K432" i="6"/>
  <c r="O455" i="6"/>
  <c r="K618" i="6"/>
  <c r="K616" i="6"/>
  <c r="K614" i="6"/>
  <c r="K612" i="6"/>
  <c r="K615" i="6"/>
  <c r="N644" i="6"/>
  <c r="N640" i="6" s="1"/>
  <c r="N638" i="6" s="1"/>
  <c r="N636" i="6" s="1"/>
  <c r="N19" i="7"/>
  <c r="L45" i="7"/>
  <c r="K93" i="7"/>
  <c r="P251" i="7"/>
  <c r="K376" i="7"/>
  <c r="N33" i="7"/>
  <c r="N13" i="7" s="1"/>
  <c r="P29" i="8"/>
  <c r="M28" i="8"/>
  <c r="P28" i="8" s="1"/>
  <c r="L45" i="8"/>
  <c r="L23" i="8"/>
  <c r="M220" i="8"/>
  <c r="P221" i="8"/>
  <c r="P275" i="8"/>
  <c r="M273" i="8"/>
  <c r="M337" i="8"/>
  <c r="P337" i="8" s="1"/>
  <c r="P30" i="9"/>
  <c r="P33" i="9"/>
  <c r="M13" i="9"/>
  <c r="P13" i="9" s="1"/>
  <c r="O42" i="9"/>
  <c r="O314" i="9"/>
  <c r="O272" i="10"/>
  <c r="L292" i="10"/>
  <c r="O294" i="10"/>
  <c r="L15" i="11"/>
  <c r="O15" i="11" s="1"/>
  <c r="O25" i="11"/>
  <c r="L19" i="11"/>
  <c r="P222" i="11"/>
  <c r="O351" i="12"/>
  <c r="L31" i="12"/>
  <c r="L333" i="13"/>
  <c r="L23" i="13"/>
  <c r="K369" i="13"/>
  <c r="I367" i="13"/>
  <c r="K367" i="13" s="1"/>
  <c r="J671" i="6"/>
  <c r="L70" i="7"/>
  <c r="L23" i="7"/>
  <c r="L34" i="7"/>
  <c r="O354" i="7"/>
  <c r="O437" i="8"/>
  <c r="L32" i="8"/>
  <c r="N644" i="8"/>
  <c r="N640" i="8" s="1"/>
  <c r="N638" i="8" s="1"/>
  <c r="N636" i="8" s="1"/>
  <c r="O25" i="9"/>
  <c r="L15" i="9"/>
  <c r="O15" i="9" s="1"/>
  <c r="L19" i="9"/>
  <c r="O141" i="9"/>
  <c r="P330" i="9"/>
  <c r="O404" i="9"/>
  <c r="L32" i="9"/>
  <c r="O119" i="10"/>
  <c r="O148" i="10"/>
  <c r="P275" i="10"/>
  <c r="M273" i="10"/>
  <c r="P330" i="10"/>
  <c r="N32" i="10"/>
  <c r="N30" i="10" s="1"/>
  <c r="N33" i="10"/>
  <c r="N13" i="10" s="1"/>
  <c r="P23" i="11"/>
  <c r="M13" i="11"/>
  <c r="P13" i="11" s="1"/>
  <c r="P19" i="11"/>
  <c r="P57" i="11"/>
  <c r="M22" i="11"/>
  <c r="M55" i="11"/>
  <c r="P55" i="11" s="1"/>
  <c r="N33" i="11"/>
  <c r="N13" i="11" s="1"/>
  <c r="L26" i="7"/>
  <c r="N22" i="7"/>
  <c r="M273" i="7"/>
  <c r="P23" i="8"/>
  <c r="M13" i="8"/>
  <c r="P13" i="8" s="1"/>
  <c r="P54" i="8"/>
  <c r="M53" i="8"/>
  <c r="N26" i="8"/>
  <c r="N16" i="8" s="1"/>
  <c r="P70" i="8"/>
  <c r="M22" i="8"/>
  <c r="K111" i="8"/>
  <c r="M120" i="8"/>
  <c r="P141" i="8"/>
  <c r="O354" i="8"/>
  <c r="N34" i="8"/>
  <c r="N14" i="8" s="1"/>
  <c r="P70" i="9"/>
  <c r="M68" i="9"/>
  <c r="P68" i="9" s="1"/>
  <c r="P122" i="9"/>
  <c r="N644" i="9"/>
  <c r="N640" i="9" s="1"/>
  <c r="N638" i="9" s="1"/>
  <c r="N636" i="9" s="1"/>
  <c r="M53" i="10"/>
  <c r="O439" i="10"/>
  <c r="L34" i="10"/>
  <c r="K618" i="10"/>
  <c r="K616" i="10"/>
  <c r="K614" i="10"/>
  <c r="K612" i="10"/>
  <c r="K619" i="10"/>
  <c r="K617" i="10"/>
  <c r="K615" i="10"/>
  <c r="K613" i="10"/>
  <c r="K611" i="10"/>
  <c r="K626" i="10"/>
  <c r="K624" i="10"/>
  <c r="K622" i="10"/>
  <c r="K620" i="10"/>
  <c r="K625" i="10"/>
  <c r="K623" i="10"/>
  <c r="K621" i="10"/>
  <c r="O148" i="11"/>
  <c r="P333" i="11"/>
  <c r="K620" i="4"/>
  <c r="K622" i="4"/>
  <c r="K624" i="4"/>
  <c r="K620" i="5"/>
  <c r="K622" i="5"/>
  <c r="K624" i="5"/>
  <c r="K620" i="6"/>
  <c r="K622" i="6"/>
  <c r="K624" i="6"/>
  <c r="N43" i="7"/>
  <c r="P57" i="7"/>
  <c r="M22" i="7"/>
  <c r="M55" i="7"/>
  <c r="K88" i="7"/>
  <c r="P102" i="7"/>
  <c r="M222" i="7"/>
  <c r="M292" i="7"/>
  <c r="P292" i="7" s="1"/>
  <c r="K340" i="7"/>
  <c r="O352" i="7"/>
  <c r="P45" i="8"/>
  <c r="M68" i="8"/>
  <c r="O119" i="8"/>
  <c r="O148" i="8"/>
  <c r="K229" i="8"/>
  <c r="L31" i="8"/>
  <c r="O49" i="9"/>
  <c r="L26" i="9"/>
  <c r="N120" i="9"/>
  <c r="N118" i="9" s="1"/>
  <c r="P118" i="9" s="1"/>
  <c r="P144" i="9"/>
  <c r="K547" i="9"/>
  <c r="L23" i="10"/>
  <c r="O665" i="10"/>
  <c r="L640" i="10"/>
  <c r="J671" i="10"/>
  <c r="N43" i="11"/>
  <c r="N26" i="11"/>
  <c r="N16" i="11" s="1"/>
  <c r="O119" i="11"/>
  <c r="O439" i="11"/>
  <c r="L34" i="11"/>
  <c r="O535" i="11"/>
  <c r="L32" i="11"/>
  <c r="K632" i="8"/>
  <c r="L640" i="8"/>
  <c r="K401" i="9"/>
  <c r="K482" i="9"/>
  <c r="L15" i="10"/>
  <c r="O15" i="10" s="1"/>
  <c r="P24" i="10"/>
  <c r="M14" i="10"/>
  <c r="P14" i="10" s="1"/>
  <c r="K64" i="10"/>
  <c r="K402" i="10"/>
  <c r="K466" i="10"/>
  <c r="N644" i="10"/>
  <c r="N640" i="10" s="1"/>
  <c r="N638" i="10" s="1"/>
  <c r="N636" i="10" s="1"/>
  <c r="O384" i="11"/>
  <c r="L33" i="11"/>
  <c r="O33" i="11" s="1"/>
  <c r="L96" i="12"/>
  <c r="O251" i="12"/>
  <c r="P272" i="12"/>
  <c r="M271" i="12"/>
  <c r="N273" i="12"/>
  <c r="P273" i="12" s="1"/>
  <c r="K380" i="12"/>
  <c r="K398" i="12"/>
  <c r="L24" i="13"/>
  <c r="P67" i="13"/>
  <c r="M66" i="13"/>
  <c r="P66" i="13" s="1"/>
  <c r="P251" i="13"/>
  <c r="M292" i="16"/>
  <c r="P294" i="16"/>
  <c r="M9" i="7"/>
  <c r="M29" i="7"/>
  <c r="N19" i="9"/>
  <c r="M53" i="9"/>
  <c r="K626" i="9"/>
  <c r="K624" i="9"/>
  <c r="K622" i="9"/>
  <c r="K620" i="9"/>
  <c r="P31" i="10"/>
  <c r="M29" i="10"/>
  <c r="L26" i="10"/>
  <c r="O74" i="10"/>
  <c r="M74" i="10"/>
  <c r="P25" i="11"/>
  <c r="M15" i="11"/>
  <c r="P15" i="11" s="1"/>
  <c r="N290" i="11"/>
  <c r="O333" i="11"/>
  <c r="P19" i="12"/>
  <c r="P57" i="12"/>
  <c r="M22" i="12"/>
  <c r="O311" i="12"/>
  <c r="O330" i="13"/>
  <c r="O221" i="14"/>
  <c r="O353" i="14"/>
  <c r="L33" i="14"/>
  <c r="O33" i="14" s="1"/>
  <c r="O566" i="16"/>
  <c r="L32" i="16"/>
  <c r="P57" i="9"/>
  <c r="M337" i="9"/>
  <c r="K340" i="9"/>
  <c r="O352" i="9"/>
  <c r="K376" i="9"/>
  <c r="O406" i="9"/>
  <c r="K464" i="9"/>
  <c r="K618" i="9"/>
  <c r="K616" i="9"/>
  <c r="K614" i="9"/>
  <c r="K612" i="9"/>
  <c r="K615" i="9"/>
  <c r="J671" i="9"/>
  <c r="P25" i="10"/>
  <c r="M15" i="10"/>
  <c r="P15" i="10" s="1"/>
  <c r="P70" i="10"/>
  <c r="M22" i="10"/>
  <c r="M120" i="10"/>
  <c r="P141" i="10"/>
  <c r="M140" i="10"/>
  <c r="M337" i="10"/>
  <c r="K340" i="10"/>
  <c r="K449" i="10"/>
  <c r="K628" i="10"/>
  <c r="K634" i="10"/>
  <c r="P30" i="11"/>
  <c r="M43" i="11"/>
  <c r="P49" i="11"/>
  <c r="L70" i="11"/>
  <c r="L23" i="11"/>
  <c r="P95" i="11"/>
  <c r="K164" i="11"/>
  <c r="N220" i="11"/>
  <c r="P224" i="11"/>
  <c r="O272" i="11"/>
  <c r="M337" i="11"/>
  <c r="O601" i="11"/>
  <c r="M30" i="12"/>
  <c r="P30" i="12" s="1"/>
  <c r="P54" i="12"/>
  <c r="M53" i="12"/>
  <c r="N22" i="12"/>
  <c r="N55" i="12"/>
  <c r="N53" i="12" s="1"/>
  <c r="L292" i="12"/>
  <c r="O292" i="12" s="1"/>
  <c r="P311" i="12"/>
  <c r="N312" i="12"/>
  <c r="N310" i="12" s="1"/>
  <c r="O352" i="12"/>
  <c r="K372" i="12"/>
  <c r="O385" i="12"/>
  <c r="L34" i="12"/>
  <c r="K425" i="12"/>
  <c r="O435" i="12"/>
  <c r="P224" i="13"/>
  <c r="M222" i="13"/>
  <c r="M22" i="13"/>
  <c r="M28" i="14"/>
  <c r="P28" i="14" s="1"/>
  <c r="P29" i="14"/>
  <c r="K401" i="11"/>
  <c r="K482" i="11"/>
  <c r="P11" i="12"/>
  <c r="P251" i="12"/>
  <c r="P275" i="12"/>
  <c r="K285" i="12"/>
  <c r="O353" i="12"/>
  <c r="L33" i="12"/>
  <c r="O33" i="12" s="1"/>
  <c r="K421" i="12"/>
  <c r="O337" i="13"/>
  <c r="M337" i="13"/>
  <c r="O74" i="14"/>
  <c r="K92" i="14"/>
  <c r="P95" i="14"/>
  <c r="O148" i="14"/>
  <c r="L142" i="14"/>
  <c r="P122" i="15"/>
  <c r="M120" i="15"/>
  <c r="O95" i="17"/>
  <c r="M140" i="17"/>
  <c r="P141" i="17"/>
  <c r="P144" i="17"/>
  <c r="N142" i="17"/>
  <c r="N140" i="17" s="1"/>
  <c r="N22" i="17"/>
  <c r="K621" i="8"/>
  <c r="K623" i="8"/>
  <c r="M9" i="11"/>
  <c r="K626" i="11"/>
  <c r="K624" i="11"/>
  <c r="K622" i="11"/>
  <c r="K620" i="11"/>
  <c r="P23" i="12"/>
  <c r="M13" i="12"/>
  <c r="P13" i="12" s="1"/>
  <c r="P25" i="12"/>
  <c r="M15" i="12"/>
  <c r="P15" i="12" s="1"/>
  <c r="M222" i="12"/>
  <c r="P222" i="12" s="1"/>
  <c r="M292" i="12"/>
  <c r="P292" i="12" s="1"/>
  <c r="M312" i="12"/>
  <c r="K328" i="12"/>
  <c r="L32" i="12"/>
  <c r="O383" i="12"/>
  <c r="O21" i="13"/>
  <c r="L19" i="13"/>
  <c r="P23" i="13"/>
  <c r="M13" i="13"/>
  <c r="P13" i="13" s="1"/>
  <c r="L19" i="14"/>
  <c r="O21" i="14"/>
  <c r="P70" i="14"/>
  <c r="M68" i="14"/>
  <c r="P144" i="14"/>
  <c r="M142" i="14"/>
  <c r="M271" i="14"/>
  <c r="P311" i="14"/>
  <c r="O568" i="14"/>
  <c r="L34" i="14"/>
  <c r="M118" i="16"/>
  <c r="P120" i="16"/>
  <c r="O352" i="11"/>
  <c r="K376" i="11"/>
  <c r="O406" i="11"/>
  <c r="K464" i="11"/>
  <c r="P31" i="12"/>
  <c r="M29" i="12"/>
  <c r="M43" i="12"/>
  <c r="L26" i="12"/>
  <c r="O67" i="12"/>
  <c r="K93" i="12"/>
  <c r="K199" i="12"/>
  <c r="O221" i="12"/>
  <c r="O291" i="12"/>
  <c r="N34" i="12"/>
  <c r="N14" i="12" s="1"/>
  <c r="K381" i="12"/>
  <c r="K427" i="12"/>
  <c r="K482" i="12"/>
  <c r="K629" i="12"/>
  <c r="P11" i="13"/>
  <c r="M9" i="13"/>
  <c r="P19" i="13"/>
  <c r="L45" i="13"/>
  <c r="O141" i="13"/>
  <c r="L140" i="13"/>
  <c r="M252" i="13"/>
  <c r="P252" i="13" s="1"/>
  <c r="P272" i="13"/>
  <c r="M271" i="13"/>
  <c r="O349" i="13"/>
  <c r="P9" i="14"/>
  <c r="M43" i="14"/>
  <c r="P45" i="14"/>
  <c r="M22" i="14"/>
  <c r="P29" i="16"/>
  <c r="M28" i="16"/>
  <c r="P28" i="16" s="1"/>
  <c r="N26" i="13"/>
  <c r="N16" i="13" s="1"/>
  <c r="P291" i="13"/>
  <c r="M290" i="13"/>
  <c r="P290" i="13" s="1"/>
  <c r="N34" i="13"/>
  <c r="N14" i="13" s="1"/>
  <c r="N15" i="14"/>
  <c r="N19" i="14"/>
  <c r="P67" i="14"/>
  <c r="N68" i="14"/>
  <c r="N66" i="14" s="1"/>
  <c r="L331" i="14"/>
  <c r="O331" i="14" s="1"/>
  <c r="O337" i="14"/>
  <c r="M337" i="14"/>
  <c r="P337" i="14" s="1"/>
  <c r="N31" i="14"/>
  <c r="N29" i="14" s="1"/>
  <c r="P67" i="16"/>
  <c r="O251" i="16"/>
  <c r="M9" i="17"/>
  <c r="P11" i="17"/>
  <c r="K612" i="11"/>
  <c r="K614" i="11"/>
  <c r="K616" i="11"/>
  <c r="P24" i="13"/>
  <c r="M14" i="13"/>
  <c r="P14" i="13" s="1"/>
  <c r="P45" i="13"/>
  <c r="M43" i="13"/>
  <c r="P43" i="13" s="1"/>
  <c r="N22" i="13"/>
  <c r="O353" i="13"/>
  <c r="L33" i="13"/>
  <c r="O33" i="13" s="1"/>
  <c r="L32" i="13"/>
  <c r="O383" i="13"/>
  <c r="K629" i="13"/>
  <c r="O671" i="13"/>
  <c r="L640" i="13"/>
  <c r="L24" i="14"/>
  <c r="O347" i="14"/>
  <c r="O352" i="14"/>
  <c r="L32" i="14"/>
  <c r="O380" i="14"/>
  <c r="N55" i="15"/>
  <c r="N53" i="15" s="1"/>
  <c r="N31" i="15"/>
  <c r="N33" i="15"/>
  <c r="N13" i="15" s="1"/>
  <c r="O383" i="15"/>
  <c r="L32" i="15"/>
  <c r="M49" i="16"/>
  <c r="M43" i="16" s="1"/>
  <c r="L43" i="16"/>
  <c r="L26" i="16"/>
  <c r="L24" i="16"/>
  <c r="L57" i="16"/>
  <c r="O54" i="17"/>
  <c r="K481" i="12"/>
  <c r="K626" i="12"/>
  <c r="K624" i="12"/>
  <c r="K622" i="12"/>
  <c r="K620" i="12"/>
  <c r="M29" i="13"/>
  <c r="N68" i="13"/>
  <c r="N66" i="13" s="1"/>
  <c r="K117" i="13"/>
  <c r="K133" i="13"/>
  <c r="P221" i="13"/>
  <c r="M312" i="13"/>
  <c r="O318" i="13"/>
  <c r="L31" i="13"/>
  <c r="L11" i="13" s="1"/>
  <c r="O351" i="13"/>
  <c r="N33" i="13"/>
  <c r="N13" i="13" s="1"/>
  <c r="P24" i="14"/>
  <c r="M14" i="14"/>
  <c r="P14" i="14" s="1"/>
  <c r="O330" i="14"/>
  <c r="O406" i="14"/>
  <c r="P57" i="15"/>
  <c r="M55" i="15"/>
  <c r="M53" i="15" s="1"/>
  <c r="L24" i="15"/>
  <c r="L224" i="15"/>
  <c r="K235" i="15"/>
  <c r="N22" i="16"/>
  <c r="O42" i="16"/>
  <c r="M22" i="16"/>
  <c r="P45" i="16"/>
  <c r="P95" i="16"/>
  <c r="O272" i="16"/>
  <c r="N329" i="14"/>
  <c r="P333" i="15"/>
  <c r="O439" i="15"/>
  <c r="L34" i="15"/>
  <c r="K619" i="15"/>
  <c r="K617" i="15"/>
  <c r="K615" i="15"/>
  <c r="K613" i="15"/>
  <c r="K611" i="15"/>
  <c r="K612" i="15"/>
  <c r="K616" i="15"/>
  <c r="K618" i="15"/>
  <c r="N118" i="16"/>
  <c r="L640" i="16"/>
  <c r="O648" i="16"/>
  <c r="K370" i="13"/>
  <c r="K398" i="13"/>
  <c r="O435" i="13"/>
  <c r="O455" i="13"/>
  <c r="L640" i="14"/>
  <c r="O54" i="15"/>
  <c r="P70" i="15"/>
  <c r="M68" i="15"/>
  <c r="P141" i="15"/>
  <c r="P19" i="16"/>
  <c r="M74" i="16"/>
  <c r="P74" i="16" s="1"/>
  <c r="O74" i="16"/>
  <c r="K368" i="13"/>
  <c r="K396" i="13"/>
  <c r="K424" i="13"/>
  <c r="K430" i="13"/>
  <c r="O537" i="13"/>
  <c r="O584" i="13"/>
  <c r="O597" i="13"/>
  <c r="K618" i="13"/>
  <c r="K631" i="13"/>
  <c r="O49" i="14"/>
  <c r="L26" i="14"/>
  <c r="K270" i="14"/>
  <c r="N292" i="14"/>
  <c r="N290" i="14" s="1"/>
  <c r="N34" i="14"/>
  <c r="N14" i="14" s="1"/>
  <c r="O551" i="14"/>
  <c r="L23" i="15"/>
  <c r="N292" i="15"/>
  <c r="N290" i="15" s="1"/>
  <c r="N22" i="15"/>
  <c r="K614" i="15"/>
  <c r="N19" i="16"/>
  <c r="L224" i="16"/>
  <c r="K235" i="16"/>
  <c r="P314" i="16"/>
  <c r="M312" i="16"/>
  <c r="P312" i="16" s="1"/>
  <c r="P333" i="16"/>
  <c r="N32" i="16"/>
  <c r="N30" i="16" s="1"/>
  <c r="O352" i="16"/>
  <c r="M14" i="17"/>
  <c r="P14" i="17" s="1"/>
  <c r="P21" i="17"/>
  <c r="M19" i="17"/>
  <c r="P70" i="17"/>
  <c r="M68" i="17"/>
  <c r="K229" i="14"/>
  <c r="K350" i="14"/>
  <c r="K402" i="14"/>
  <c r="O597" i="14"/>
  <c r="M41" i="15"/>
  <c r="P251" i="15"/>
  <c r="K372" i="15"/>
  <c r="O385" i="15"/>
  <c r="N26" i="16"/>
  <c r="N16" i="16" s="1"/>
  <c r="P55" i="16"/>
  <c r="K270" i="16"/>
  <c r="L33" i="16"/>
  <c r="O33" i="16" s="1"/>
  <c r="O353" i="16"/>
  <c r="O459" i="16"/>
  <c r="M28" i="17"/>
  <c r="P28" i="17" s="1"/>
  <c r="P29" i="17"/>
  <c r="K612" i="13"/>
  <c r="K614" i="13"/>
  <c r="K616" i="13"/>
  <c r="K620" i="13"/>
  <c r="K622" i="13"/>
  <c r="K624" i="13"/>
  <c r="O555" i="14"/>
  <c r="P25" i="15"/>
  <c r="M15" i="15"/>
  <c r="P15" i="15" s="1"/>
  <c r="M22" i="15"/>
  <c r="P54" i="15"/>
  <c r="N120" i="15"/>
  <c r="N118" i="15" s="1"/>
  <c r="K381" i="15"/>
  <c r="O533" i="15"/>
  <c r="O566" i="15"/>
  <c r="J671" i="15"/>
  <c r="K671" i="15" s="1"/>
  <c r="O102" i="16"/>
  <c r="P251" i="16"/>
  <c r="O351" i="16"/>
  <c r="L31" i="16"/>
  <c r="L11" i="16" s="1"/>
  <c r="L34" i="16"/>
  <c r="N43" i="17"/>
  <c r="N41" i="17" s="1"/>
  <c r="P45" i="17"/>
  <c r="K432" i="14"/>
  <c r="O459" i="14"/>
  <c r="O553" i="14"/>
  <c r="P45" i="15"/>
  <c r="N43" i="15"/>
  <c r="N41" i="15" s="1"/>
  <c r="P98" i="15"/>
  <c r="M96" i="15"/>
  <c r="P96" i="15" s="1"/>
  <c r="P221" i="15"/>
  <c r="M220" i="15"/>
  <c r="K380" i="15"/>
  <c r="O564" i="15"/>
  <c r="L19" i="16"/>
  <c r="O67" i="16"/>
  <c r="P122" i="16"/>
  <c r="O354" i="16"/>
  <c r="N34" i="16"/>
  <c r="N14" i="16" s="1"/>
  <c r="L70" i="17"/>
  <c r="L23" i="17"/>
  <c r="P57" i="16"/>
  <c r="M43" i="17"/>
  <c r="N222" i="17"/>
  <c r="P222" i="17" s="1"/>
  <c r="O330" i="17"/>
  <c r="M148" i="15"/>
  <c r="K164" i="15"/>
  <c r="P224" i="15"/>
  <c r="N32" i="15"/>
  <c r="N30" i="15" s="1"/>
  <c r="K632" i="15"/>
  <c r="L23" i="16"/>
  <c r="K88" i="16"/>
  <c r="K398" i="16"/>
  <c r="K593" i="16"/>
  <c r="O601" i="16"/>
  <c r="M22" i="17"/>
  <c r="K93" i="17"/>
  <c r="K133" i="17"/>
  <c r="P221" i="17"/>
  <c r="M220" i="17"/>
  <c r="M13" i="15"/>
  <c r="P13" i="15" s="1"/>
  <c r="K625" i="15"/>
  <c r="K623" i="15"/>
  <c r="K621" i="15"/>
  <c r="K624" i="15"/>
  <c r="K628" i="15"/>
  <c r="K665" i="15"/>
  <c r="P21" i="16"/>
  <c r="M11" i="16"/>
  <c r="K84" i="16"/>
  <c r="O221" i="16"/>
  <c r="P275" i="16"/>
  <c r="K285" i="16"/>
  <c r="K369" i="16"/>
  <c r="I367" i="16"/>
  <c r="K367" i="16" s="1"/>
  <c r="K435" i="16"/>
  <c r="O439" i="16"/>
  <c r="N19" i="18"/>
  <c r="P24" i="18"/>
  <c r="M14" i="18"/>
  <c r="P14" i="18" s="1"/>
  <c r="P272" i="17"/>
  <c r="K591" i="16"/>
  <c r="K597" i="16"/>
  <c r="O599" i="16"/>
  <c r="L19" i="17"/>
  <c r="O21" i="17"/>
  <c r="O45" i="17"/>
  <c r="P224" i="17"/>
  <c r="K618" i="17"/>
  <c r="K616" i="17"/>
  <c r="K614" i="17"/>
  <c r="K612" i="17"/>
  <c r="K611" i="17"/>
  <c r="K613" i="17"/>
  <c r="K615" i="17"/>
  <c r="K617" i="17"/>
  <c r="K619" i="17"/>
  <c r="L224" i="17"/>
  <c r="K235" i="17"/>
  <c r="N31" i="17"/>
  <c r="N29" i="17" s="1"/>
  <c r="L24" i="18"/>
  <c r="L45" i="18"/>
  <c r="O54" i="18"/>
  <c r="K589" i="16"/>
  <c r="K595" i="16"/>
  <c r="O597" i="16"/>
  <c r="L57" i="17"/>
  <c r="K113" i="17"/>
  <c r="O352" i="17"/>
  <c r="L32" i="17"/>
  <c r="P333" i="17"/>
  <c r="M331" i="17"/>
  <c r="I367" i="17"/>
  <c r="K367" i="17" s="1"/>
  <c r="P224" i="18"/>
  <c r="M222" i="18"/>
  <c r="K176" i="17"/>
  <c r="K370" i="17"/>
  <c r="K418" i="17"/>
  <c r="K424" i="17"/>
  <c r="K430" i="17"/>
  <c r="K630" i="17"/>
  <c r="K450" i="18"/>
  <c r="K473" i="18"/>
  <c r="O95" i="18"/>
  <c r="O333" i="18"/>
  <c r="N33" i="18"/>
  <c r="N13" i="18" s="1"/>
  <c r="L15" i="17"/>
  <c r="O15" i="17" s="1"/>
  <c r="P95" i="17"/>
  <c r="K109" i="17"/>
  <c r="O119" i="17"/>
  <c r="K340" i="17"/>
  <c r="O354" i="17"/>
  <c r="K397" i="17"/>
  <c r="L23" i="18"/>
  <c r="P98" i="18"/>
  <c r="P333" i="18"/>
  <c r="K369" i="18"/>
  <c r="I367" i="18"/>
  <c r="K367" i="18" s="1"/>
  <c r="O385" i="18"/>
  <c r="O435" i="17"/>
  <c r="K466" i="17"/>
  <c r="K564" i="17"/>
  <c r="K626" i="17"/>
  <c r="K624" i="17"/>
  <c r="K622" i="17"/>
  <c r="K620" i="17"/>
  <c r="P31" i="18"/>
  <c r="M29" i="18"/>
  <c r="K87" i="18"/>
  <c r="O330" i="18"/>
  <c r="J671" i="17"/>
  <c r="P25" i="18"/>
  <c r="M15" i="18"/>
  <c r="P15" i="18" s="1"/>
  <c r="P221" i="18"/>
  <c r="O291" i="18"/>
  <c r="N644" i="17"/>
  <c r="N640" i="17" s="1"/>
  <c r="N638" i="17" s="1"/>
  <c r="N636" i="17" s="1"/>
  <c r="M19" i="18"/>
  <c r="N22" i="18"/>
  <c r="P291" i="18"/>
  <c r="N329" i="17"/>
  <c r="K372" i="17"/>
  <c r="K650" i="17"/>
  <c r="P11" i="18"/>
  <c r="P70" i="18"/>
  <c r="M22" i="18"/>
  <c r="K80" i="18"/>
  <c r="O102" i="18"/>
  <c r="M102" i="18"/>
  <c r="M96" i="18" s="1"/>
  <c r="M142" i="18"/>
  <c r="P254" i="18"/>
  <c r="K264" i="18"/>
  <c r="O337" i="18"/>
  <c r="M337" i="18"/>
  <c r="P337" i="18" s="1"/>
  <c r="K341" i="18"/>
  <c r="O347" i="18"/>
  <c r="O353" i="18"/>
  <c r="L33" i="18"/>
  <c r="O33" i="18" s="1"/>
  <c r="O141" i="18"/>
  <c r="K619" i="18"/>
  <c r="K617" i="18"/>
  <c r="K615" i="18"/>
  <c r="K613" i="18"/>
  <c r="K611" i="18"/>
  <c r="O298" i="18"/>
  <c r="P314" i="18"/>
  <c r="K324" i="18"/>
  <c r="K375" i="18"/>
  <c r="O566" i="18"/>
  <c r="K618" i="18"/>
  <c r="K621" i="18"/>
  <c r="K623" i="18"/>
  <c r="O102" i="1" l="1"/>
  <c r="L120" i="10"/>
  <c r="O120" i="10" s="1"/>
  <c r="O294" i="14"/>
  <c r="P142" i="4"/>
  <c r="L11" i="11"/>
  <c r="O275" i="2"/>
  <c r="L638" i="3"/>
  <c r="O638" i="3" s="1"/>
  <c r="L222" i="5"/>
  <c r="L220" i="5" s="1"/>
  <c r="L16" i="18"/>
  <c r="O16" i="18" s="1"/>
  <c r="N28" i="16"/>
  <c r="N11" i="16"/>
  <c r="N9" i="16" s="1"/>
  <c r="O275" i="16"/>
  <c r="O31" i="11"/>
  <c r="L252" i="9"/>
  <c r="O26" i="3"/>
  <c r="M250" i="7"/>
  <c r="P250" i="7" s="1"/>
  <c r="M96" i="17"/>
  <c r="P96" i="17" s="1"/>
  <c r="L120" i="15"/>
  <c r="O120" i="15" s="1"/>
  <c r="P96" i="4"/>
  <c r="O275" i="17"/>
  <c r="P333" i="1"/>
  <c r="P43" i="10"/>
  <c r="O34" i="9"/>
  <c r="O347" i="1"/>
  <c r="M271" i="9"/>
  <c r="P271" i="9" s="1"/>
  <c r="O43" i="3"/>
  <c r="K634" i="1"/>
  <c r="P41" i="2"/>
  <c r="O333" i="8"/>
  <c r="N11" i="12"/>
  <c r="N9" i="12" s="1"/>
  <c r="K416" i="1"/>
  <c r="L222" i="10"/>
  <c r="O275" i="9"/>
  <c r="L312" i="7"/>
  <c r="N20" i="9"/>
  <c r="N18" i="9" s="1"/>
  <c r="O34" i="7"/>
  <c r="P312" i="15"/>
  <c r="O224" i="8"/>
  <c r="L292" i="3"/>
  <c r="L290" i="3" s="1"/>
  <c r="O290" i="3" s="1"/>
  <c r="L331" i="12"/>
  <c r="O331" i="12" s="1"/>
  <c r="O98" i="13"/>
  <c r="P222" i="18"/>
  <c r="O98" i="5"/>
  <c r="P118" i="2"/>
  <c r="M96" i="14"/>
  <c r="P96" i="14" s="1"/>
  <c r="L43" i="12"/>
  <c r="P273" i="11"/>
  <c r="M250" i="15"/>
  <c r="P250" i="15" s="1"/>
  <c r="L68" i="15"/>
  <c r="O68" i="15" s="1"/>
  <c r="O34" i="5"/>
  <c r="O26" i="15"/>
  <c r="O294" i="7"/>
  <c r="L312" i="16"/>
  <c r="L310" i="16" s="1"/>
  <c r="O310" i="16" s="1"/>
  <c r="L142" i="11"/>
  <c r="O142" i="11" s="1"/>
  <c r="M94" i="4"/>
  <c r="P94" i="4" s="1"/>
  <c r="L68" i="6"/>
  <c r="O68" i="6" s="1"/>
  <c r="K138" i="1"/>
  <c r="P142" i="7"/>
  <c r="N43" i="1"/>
  <c r="N41" i="1" s="1"/>
  <c r="K466" i="1"/>
  <c r="N11" i="18"/>
  <c r="N9" i="18" s="1"/>
  <c r="K547" i="1"/>
  <c r="P142" i="5"/>
  <c r="K629" i="1"/>
  <c r="O401" i="1"/>
  <c r="L222" i="18"/>
  <c r="L220" i="18" s="1"/>
  <c r="O220" i="18" s="1"/>
  <c r="L273" i="15"/>
  <c r="L271" i="15" s="1"/>
  <c r="O271" i="15" s="1"/>
  <c r="P273" i="14"/>
  <c r="L273" i="11"/>
  <c r="O273" i="11" s="1"/>
  <c r="P53" i="10"/>
  <c r="P271" i="14"/>
  <c r="O34" i="3"/>
  <c r="K423" i="1"/>
  <c r="K429" i="1"/>
  <c r="M310" i="14"/>
  <c r="P310" i="14" s="1"/>
  <c r="O294" i="13"/>
  <c r="O34" i="17"/>
  <c r="K86" i="1"/>
  <c r="O314" i="10"/>
  <c r="O665" i="1"/>
  <c r="L120" i="7"/>
  <c r="O120" i="7" s="1"/>
  <c r="P41" i="10"/>
  <c r="O273" i="16"/>
  <c r="O70" i="8"/>
  <c r="O329" i="11"/>
  <c r="P142" i="11"/>
  <c r="N310" i="18"/>
  <c r="P310" i="18" s="1"/>
  <c r="K309" i="1"/>
  <c r="L120" i="13"/>
  <c r="L118" i="13" s="1"/>
  <c r="O118" i="13" s="1"/>
  <c r="O34" i="4"/>
  <c r="O294" i="6"/>
  <c r="O455" i="1"/>
  <c r="P142" i="10"/>
  <c r="P142" i="8"/>
  <c r="K266" i="1"/>
  <c r="L11" i="3"/>
  <c r="O11" i="3" s="1"/>
  <c r="L29" i="3"/>
  <c r="O29" i="3" s="1"/>
  <c r="L222" i="6"/>
  <c r="L220" i="6" s="1"/>
  <c r="N271" i="3"/>
  <c r="P271" i="3" s="1"/>
  <c r="O43" i="16"/>
  <c r="P55" i="7"/>
  <c r="P120" i="17"/>
  <c r="P120" i="18"/>
  <c r="N140" i="13"/>
  <c r="O140" i="13" s="1"/>
  <c r="O333" i="6"/>
  <c r="K80" i="1"/>
  <c r="P222" i="15"/>
  <c r="O650" i="1"/>
  <c r="O294" i="18"/>
  <c r="P140" i="10"/>
  <c r="P222" i="8"/>
  <c r="O142" i="4"/>
  <c r="P312" i="8"/>
  <c r="O252" i="8"/>
  <c r="K380" i="1"/>
  <c r="L68" i="12"/>
  <c r="O68" i="12" s="1"/>
  <c r="O275" i="12"/>
  <c r="K345" i="1"/>
  <c r="N11" i="13"/>
  <c r="N9" i="13" s="1"/>
  <c r="P312" i="6"/>
  <c r="L292" i="4"/>
  <c r="L290" i="4" s="1"/>
  <c r="O290" i="4" s="1"/>
  <c r="O224" i="13"/>
  <c r="O275" i="10"/>
  <c r="K381" i="1"/>
  <c r="K533" i="1"/>
  <c r="K264" i="1"/>
  <c r="O553" i="1"/>
  <c r="O314" i="17"/>
  <c r="L252" i="12"/>
  <c r="O252" i="12" s="1"/>
  <c r="L142" i="15"/>
  <c r="L140" i="15" s="1"/>
  <c r="O140" i="15" s="1"/>
  <c r="O457" i="1"/>
  <c r="K435" i="1"/>
  <c r="P220" i="16"/>
  <c r="P312" i="9"/>
  <c r="M271" i="11"/>
  <c r="P271" i="11" s="1"/>
  <c r="K377" i="1"/>
  <c r="N28" i="4"/>
  <c r="K376" i="1"/>
  <c r="P294" i="1"/>
  <c r="P273" i="16"/>
  <c r="L16" i="3"/>
  <c r="O16" i="3" s="1"/>
  <c r="K84" i="1"/>
  <c r="K498" i="1"/>
  <c r="L14" i="12"/>
  <c r="O14" i="12" s="1"/>
  <c r="L142" i="8"/>
  <c r="O142" i="8" s="1"/>
  <c r="O122" i="8"/>
  <c r="O222" i="13"/>
  <c r="K595" i="1"/>
  <c r="O148" i="1"/>
  <c r="M331" i="15"/>
  <c r="P331" i="15" s="1"/>
  <c r="O555" i="1"/>
  <c r="P331" i="12"/>
  <c r="O314" i="15"/>
  <c r="O45" i="11"/>
  <c r="P273" i="15"/>
  <c r="O331" i="18"/>
  <c r="L68" i="16"/>
  <c r="O68" i="16" s="1"/>
  <c r="M26" i="17"/>
  <c r="N220" i="13"/>
  <c r="O220" i="13" s="1"/>
  <c r="P222" i="7"/>
  <c r="P43" i="7"/>
  <c r="L96" i="10"/>
  <c r="O96" i="10" s="1"/>
  <c r="O254" i="2"/>
  <c r="L250" i="2"/>
  <c r="L96" i="7"/>
  <c r="L94" i="7" s="1"/>
  <c r="O94" i="7" s="1"/>
  <c r="N12" i="4"/>
  <c r="N10" i="4" s="1"/>
  <c r="O224" i="14"/>
  <c r="O45" i="15"/>
  <c r="P222" i="13"/>
  <c r="K573" i="1"/>
  <c r="K424" i="1"/>
  <c r="N11" i="4"/>
  <c r="N9" i="4" s="1"/>
  <c r="N8" i="4" s="1"/>
  <c r="O406" i="1"/>
  <c r="O122" i="16"/>
  <c r="L273" i="14"/>
  <c r="O273" i="14" s="1"/>
  <c r="M290" i="15"/>
  <c r="P290" i="15" s="1"/>
  <c r="N29" i="8"/>
  <c r="N28" i="8" s="1"/>
  <c r="K665" i="1"/>
  <c r="K630" i="1"/>
  <c r="O404" i="1"/>
  <c r="O333" i="16"/>
  <c r="P273" i="6"/>
  <c r="O94" i="5"/>
  <c r="O96" i="4"/>
  <c r="K349" i="1"/>
  <c r="L120" i="18"/>
  <c r="O120" i="18" s="1"/>
  <c r="L68" i="3"/>
  <c r="L66" i="3" s="1"/>
  <c r="O66" i="3" s="1"/>
  <c r="K631" i="1"/>
  <c r="K133" i="1"/>
  <c r="K164" i="1"/>
  <c r="K417" i="1"/>
  <c r="K85" i="1"/>
  <c r="K306" i="1"/>
  <c r="K149" i="1"/>
  <c r="O584" i="1"/>
  <c r="P252" i="3"/>
  <c r="K633" i="1"/>
  <c r="O68" i="8"/>
  <c r="L66" i="8"/>
  <c r="O66" i="8" s="1"/>
  <c r="L11" i="14"/>
  <c r="L9" i="14" s="1"/>
  <c r="N53" i="6"/>
  <c r="P53" i="6" s="1"/>
  <c r="P96" i="5"/>
  <c r="N53" i="5"/>
  <c r="O53" i="5" s="1"/>
  <c r="K117" i="1"/>
  <c r="L68" i="4"/>
  <c r="O68" i="4" s="1"/>
  <c r="L142" i="12"/>
  <c r="L140" i="12" s="1"/>
  <c r="O140" i="12" s="1"/>
  <c r="O30" i="5"/>
  <c r="O329" i="7"/>
  <c r="N250" i="6"/>
  <c r="P250" i="6" s="1"/>
  <c r="N41" i="6"/>
  <c r="P41" i="6" s="1"/>
  <c r="O566" i="1"/>
  <c r="K201" i="1"/>
  <c r="P275" i="1"/>
  <c r="K204" i="1"/>
  <c r="K626" i="1"/>
  <c r="K398" i="1"/>
  <c r="O580" i="1"/>
  <c r="K474" i="1"/>
  <c r="L142" i="10"/>
  <c r="O142" i="10" s="1"/>
  <c r="K455" i="1"/>
  <c r="K564" i="1"/>
  <c r="M68" i="7"/>
  <c r="M66" i="7" s="1"/>
  <c r="P66" i="7" s="1"/>
  <c r="O582" i="1"/>
  <c r="O57" i="8"/>
  <c r="K108" i="1"/>
  <c r="K597" i="1"/>
  <c r="O49" i="1"/>
  <c r="K560" i="1"/>
  <c r="O383" i="1"/>
  <c r="K648" i="1"/>
  <c r="P220" i="15"/>
  <c r="O331" i="10"/>
  <c r="O34" i="10"/>
  <c r="P273" i="8"/>
  <c r="L273" i="7"/>
  <c r="O273" i="7" s="1"/>
  <c r="L273" i="5"/>
  <c r="L271" i="5" s="1"/>
  <c r="O271" i="5" s="1"/>
  <c r="O98" i="4"/>
  <c r="O96" i="5"/>
  <c r="K249" i="1"/>
  <c r="K229" i="1"/>
  <c r="P68" i="11"/>
  <c r="P273" i="2"/>
  <c r="N250" i="8"/>
  <c r="P250" i="8" s="1"/>
  <c r="K450" i="1"/>
  <c r="O294" i="16"/>
  <c r="O57" i="11"/>
  <c r="N28" i="3"/>
  <c r="L94" i="4"/>
  <c r="O94" i="4" s="1"/>
  <c r="K422" i="1"/>
  <c r="M26" i="7"/>
  <c r="M20" i="7" s="1"/>
  <c r="P144" i="1"/>
  <c r="O31" i="14"/>
  <c r="K396" i="1"/>
  <c r="O535" i="1"/>
  <c r="O120" i="8"/>
  <c r="L118" i="8"/>
  <c r="O118" i="8" s="1"/>
  <c r="O312" i="15"/>
  <c r="L310" i="15"/>
  <c r="O310" i="15" s="1"/>
  <c r="N28" i="17"/>
  <c r="K216" i="1"/>
  <c r="O331" i="11"/>
  <c r="P94" i="7"/>
  <c r="K622" i="1"/>
  <c r="P96" i="13"/>
  <c r="O349" i="1"/>
  <c r="L96" i="2"/>
  <c r="O96" i="2" s="1"/>
  <c r="N66" i="18"/>
  <c r="N66" i="1" s="1"/>
  <c r="L96" i="18"/>
  <c r="O96" i="18" s="1"/>
  <c r="O144" i="17"/>
  <c r="O122" i="14"/>
  <c r="N53" i="9"/>
  <c r="P53" i="9" s="1"/>
  <c r="K265" i="1"/>
  <c r="P314" i="1"/>
  <c r="L68" i="2"/>
  <c r="O68" i="2" s="1"/>
  <c r="O661" i="1"/>
  <c r="M66" i="4"/>
  <c r="P66" i="4" s="1"/>
  <c r="K624" i="1"/>
  <c r="K401" i="1"/>
  <c r="L142" i="6"/>
  <c r="L140" i="6" s="1"/>
  <c r="K668" i="1"/>
  <c r="K186" i="1"/>
  <c r="K64" i="1"/>
  <c r="K219" i="1"/>
  <c r="P140" i="12"/>
  <c r="K591" i="1"/>
  <c r="N20" i="14"/>
  <c r="N18" i="14" s="1"/>
  <c r="K623" i="1"/>
  <c r="N53" i="2"/>
  <c r="P53" i="2" s="1"/>
  <c r="O220" i="3"/>
  <c r="M290" i="17"/>
  <c r="P290" i="17" s="1"/>
  <c r="L310" i="12"/>
  <c r="O310" i="12" s="1"/>
  <c r="O252" i="10"/>
  <c r="N11" i="7"/>
  <c r="N9" i="7" s="1"/>
  <c r="N28" i="12"/>
  <c r="P43" i="3"/>
  <c r="K270" i="1"/>
  <c r="O55" i="5"/>
  <c r="N53" i="13"/>
  <c r="P53" i="13" s="1"/>
  <c r="K625" i="1"/>
  <c r="N41" i="5"/>
  <c r="P41" i="5" s="1"/>
  <c r="K199" i="1"/>
  <c r="P273" i="4"/>
  <c r="O252" i="18"/>
  <c r="O601" i="1"/>
  <c r="K589" i="1"/>
  <c r="K621" i="1"/>
  <c r="K431" i="1"/>
  <c r="O331" i="16"/>
  <c r="O273" i="10"/>
  <c r="K635" i="1"/>
  <c r="K418" i="1"/>
  <c r="O43" i="11"/>
  <c r="L142" i="7"/>
  <c r="O142" i="7" s="1"/>
  <c r="N28" i="5"/>
  <c r="L22" i="6"/>
  <c r="L12" i="6" s="1"/>
  <c r="L43" i="4"/>
  <c r="O43" i="4" s="1"/>
  <c r="L41" i="3"/>
  <c r="O41" i="3" s="1"/>
  <c r="O380" i="1"/>
  <c r="O98" i="6"/>
  <c r="O459" i="1"/>
  <c r="L273" i="4"/>
  <c r="O273" i="4" s="1"/>
  <c r="O34" i="2"/>
  <c r="L331" i="3"/>
  <c r="L329" i="3" s="1"/>
  <c r="L252" i="11"/>
  <c r="N28" i="7"/>
  <c r="K65" i="1"/>
  <c r="O597" i="1"/>
  <c r="J671" i="1"/>
  <c r="K671" i="1" s="1"/>
  <c r="K432" i="1"/>
  <c r="L96" i="8"/>
  <c r="O96" i="8" s="1"/>
  <c r="O98" i="14"/>
  <c r="O34" i="15"/>
  <c r="L55" i="2"/>
  <c r="L53" i="2" s="1"/>
  <c r="O57" i="5"/>
  <c r="K650" i="1"/>
  <c r="O32" i="5"/>
  <c r="L120" i="5"/>
  <c r="L118" i="5" s="1"/>
  <c r="K580" i="1"/>
  <c r="O385" i="1"/>
  <c r="L252" i="13"/>
  <c r="O252" i="13" s="1"/>
  <c r="O252" i="14"/>
  <c r="P329" i="2"/>
  <c r="P331" i="2"/>
  <c r="K176" i="1"/>
  <c r="K375" i="1"/>
  <c r="L252" i="3"/>
  <c r="O252" i="15"/>
  <c r="L250" i="15"/>
  <c r="O250" i="15" s="1"/>
  <c r="L310" i="10"/>
  <c r="O310" i="10" s="1"/>
  <c r="O312" i="10"/>
  <c r="L331" i="15"/>
  <c r="O331" i="15" s="1"/>
  <c r="N28" i="14"/>
  <c r="O45" i="10"/>
  <c r="O144" i="4"/>
  <c r="L222" i="7"/>
  <c r="O222" i="7" s="1"/>
  <c r="O671" i="1"/>
  <c r="K112" i="1"/>
  <c r="L273" i="18"/>
  <c r="O273" i="18" s="1"/>
  <c r="N32" i="1"/>
  <c r="N30" i="1" s="1"/>
  <c r="O254" i="15"/>
  <c r="L222" i="11"/>
  <c r="L220" i="11" s="1"/>
  <c r="O220" i="11" s="1"/>
  <c r="O352" i="1"/>
  <c r="K189" i="1"/>
  <c r="K481" i="1"/>
  <c r="K402" i="1"/>
  <c r="K421" i="1"/>
  <c r="K158" i="1"/>
  <c r="P120" i="11"/>
  <c r="O55" i="18"/>
  <c r="K235" i="1"/>
  <c r="P118" i="17"/>
  <c r="K419" i="1"/>
  <c r="P43" i="18"/>
  <c r="L22" i="11"/>
  <c r="L12" i="11" s="1"/>
  <c r="O292" i="11"/>
  <c r="L55" i="3"/>
  <c r="L53" i="3" s="1"/>
  <c r="O53" i="3" s="1"/>
  <c r="J651" i="1"/>
  <c r="K651" i="1" s="1"/>
  <c r="K449" i="1"/>
  <c r="L120" i="6"/>
  <c r="L222" i="12"/>
  <c r="O57" i="6"/>
  <c r="O16" i="17"/>
  <c r="K663" i="1"/>
  <c r="N12" i="9"/>
  <c r="N10" i="9" s="1"/>
  <c r="O640" i="11"/>
  <c r="N28" i="13"/>
  <c r="L252" i="17"/>
  <c r="O252" i="17" s="1"/>
  <c r="L252" i="16"/>
  <c r="O252" i="16" s="1"/>
  <c r="N329" i="16"/>
  <c r="P329" i="16" s="1"/>
  <c r="P331" i="16"/>
  <c r="L55" i="13"/>
  <c r="O55" i="13" s="1"/>
  <c r="O70" i="18"/>
  <c r="K499" i="1"/>
  <c r="K82" i="1"/>
  <c r="L55" i="14"/>
  <c r="L53" i="14" s="1"/>
  <c r="O53" i="14" s="1"/>
  <c r="O94" i="14"/>
  <c r="M118" i="14"/>
  <c r="P118" i="14" s="1"/>
  <c r="P142" i="13"/>
  <c r="L222" i="4"/>
  <c r="L220" i="4" s="1"/>
  <c r="O220" i="4" s="1"/>
  <c r="M290" i="3"/>
  <c r="P290" i="3" s="1"/>
  <c r="M310" i="16"/>
  <c r="P310" i="16" s="1"/>
  <c r="N12" i="14"/>
  <c r="N10" i="14" s="1"/>
  <c r="P55" i="8"/>
  <c r="O31" i="6"/>
  <c r="L142" i="18"/>
  <c r="O142" i="18" s="1"/>
  <c r="O294" i="11"/>
  <c r="P120" i="12"/>
  <c r="P120" i="13"/>
  <c r="P273" i="5"/>
  <c r="O144" i="9"/>
  <c r="O55" i="8"/>
  <c r="M271" i="17"/>
  <c r="P271" i="17" s="1"/>
  <c r="L96" i="15"/>
  <c r="O96" i="15" s="1"/>
  <c r="L68" i="14"/>
  <c r="O68" i="14" s="1"/>
  <c r="P53" i="8"/>
  <c r="O53" i="8"/>
  <c r="K285" i="1"/>
  <c r="L331" i="4"/>
  <c r="L329" i="4" s="1"/>
  <c r="O329" i="4" s="1"/>
  <c r="O599" i="1"/>
  <c r="K173" i="1"/>
  <c r="K328" i="1"/>
  <c r="N20" i="4"/>
  <c r="N18" i="4" s="1"/>
  <c r="L331" i="9"/>
  <c r="O331" i="9" s="1"/>
  <c r="L312" i="11"/>
  <c r="O638" i="12"/>
  <c r="L636" i="12"/>
  <c r="O636" i="12" s="1"/>
  <c r="P290" i="18"/>
  <c r="P252" i="18"/>
  <c r="O331" i="17"/>
  <c r="O11" i="17"/>
  <c r="N28" i="10"/>
  <c r="N11" i="10"/>
  <c r="N9" i="10" s="1"/>
  <c r="P292" i="18"/>
  <c r="L96" i="16"/>
  <c r="O96" i="16" s="1"/>
  <c r="O292" i="18"/>
  <c r="O57" i="18"/>
  <c r="P55" i="17"/>
  <c r="M331" i="14"/>
  <c r="P331" i="14" s="1"/>
  <c r="O57" i="12"/>
  <c r="P96" i="12"/>
  <c r="O34" i="11"/>
  <c r="L22" i="12"/>
  <c r="L12" i="12" s="1"/>
  <c r="L22" i="10"/>
  <c r="L20" i="10" s="1"/>
  <c r="O275" i="13"/>
  <c r="N33" i="1"/>
  <c r="N13" i="1" s="1"/>
  <c r="N252" i="1"/>
  <c r="M250" i="3"/>
  <c r="P250" i="3" s="1"/>
  <c r="L312" i="13"/>
  <c r="L310" i="13" s="1"/>
  <c r="O310" i="13" s="1"/>
  <c r="O314" i="5"/>
  <c r="O435" i="1"/>
  <c r="K420" i="1"/>
  <c r="O564" i="1"/>
  <c r="P53" i="17"/>
  <c r="L22" i="14"/>
  <c r="L20" i="14" s="1"/>
  <c r="P94" i="12"/>
  <c r="N11" i="9"/>
  <c r="N9" i="9" s="1"/>
  <c r="L43" i="9"/>
  <c r="O43" i="9" s="1"/>
  <c r="L55" i="10"/>
  <c r="O55" i="10" s="1"/>
  <c r="P43" i="8"/>
  <c r="L638" i="11"/>
  <c r="L636" i="11" s="1"/>
  <c r="O636" i="11" s="1"/>
  <c r="K185" i="1"/>
  <c r="K368" i="1"/>
  <c r="L120" i="17"/>
  <c r="P222" i="14"/>
  <c r="N118" i="11"/>
  <c r="P118" i="11" s="1"/>
  <c r="K451" i="1"/>
  <c r="K473" i="1"/>
  <c r="N250" i="18"/>
  <c r="P250" i="18" s="1"/>
  <c r="L11" i="18"/>
  <c r="L9" i="18" s="1"/>
  <c r="O31" i="17"/>
  <c r="M94" i="16"/>
  <c r="P94" i="16" s="1"/>
  <c r="O96" i="12"/>
  <c r="L22" i="5"/>
  <c r="O22" i="5" s="1"/>
  <c r="L254" i="1"/>
  <c r="O254" i="1" s="1"/>
  <c r="K109" i="1"/>
  <c r="P252" i="12"/>
  <c r="N31" i="1"/>
  <c r="N29" i="1" s="1"/>
  <c r="P142" i="12"/>
  <c r="L55" i="15"/>
  <c r="L53" i="15" s="1"/>
  <c r="O53" i="15" s="1"/>
  <c r="K215" i="1"/>
  <c r="L68" i="5"/>
  <c r="O31" i="18"/>
  <c r="L29" i="17"/>
  <c r="O29" i="17" s="1"/>
  <c r="K428" i="1"/>
  <c r="M290" i="8"/>
  <c r="P290" i="8" s="1"/>
  <c r="K482" i="1"/>
  <c r="M310" i="3"/>
  <c r="P310" i="3" s="1"/>
  <c r="L273" i="6"/>
  <c r="O273" i="6" s="1"/>
  <c r="K397" i="1"/>
  <c r="P96" i="7"/>
  <c r="M310" i="7"/>
  <c r="P310" i="7" s="1"/>
  <c r="O312" i="5"/>
  <c r="L220" i="14"/>
  <c r="O222" i="14"/>
  <c r="O55" i="12"/>
  <c r="P53" i="12"/>
  <c r="K87" i="1"/>
  <c r="L312" i="8"/>
  <c r="O651" i="1"/>
  <c r="P312" i="11"/>
  <c r="M310" i="11"/>
  <c r="P310" i="11" s="1"/>
  <c r="N26" i="1"/>
  <c r="N16" i="1" s="1"/>
  <c r="L55" i="7"/>
  <c r="K289" i="1"/>
  <c r="M220" i="18"/>
  <c r="P220" i="18" s="1"/>
  <c r="M331" i="18"/>
  <c r="M329" i="18" s="1"/>
  <c r="P329" i="18" s="1"/>
  <c r="N28" i="6"/>
  <c r="O140" i="4"/>
  <c r="O34" i="18"/>
  <c r="O568" i="1"/>
  <c r="O668" i="1"/>
  <c r="M140" i="8"/>
  <c r="P140" i="8" s="1"/>
  <c r="P252" i="10"/>
  <c r="M250" i="10"/>
  <c r="P250" i="10" s="1"/>
  <c r="L312" i="6"/>
  <c r="O314" i="6"/>
  <c r="P222" i="10"/>
  <c r="M220" i="10"/>
  <c r="P220" i="10" s="1"/>
  <c r="L310" i="17"/>
  <c r="O310" i="17" s="1"/>
  <c r="O98" i="11"/>
  <c r="L96" i="11"/>
  <c r="M250" i="12"/>
  <c r="P250" i="12" s="1"/>
  <c r="M94" i="9"/>
  <c r="P94" i="9" s="1"/>
  <c r="P55" i="12"/>
  <c r="P120" i="9"/>
  <c r="O640" i="12"/>
  <c r="P292" i="5"/>
  <c r="M290" i="5"/>
  <c r="P290" i="5" s="1"/>
  <c r="M140" i="2"/>
  <c r="P140" i="2" s="1"/>
  <c r="P142" i="2"/>
  <c r="O34" i="6"/>
  <c r="P140" i="11"/>
  <c r="M331" i="6"/>
  <c r="P331" i="6" s="1"/>
  <c r="N644" i="1"/>
  <c r="N640" i="1" s="1"/>
  <c r="N638" i="1" s="1"/>
  <c r="N636" i="1" s="1"/>
  <c r="P53" i="14"/>
  <c r="M118" i="13"/>
  <c r="P118" i="13" s="1"/>
  <c r="O329" i="10"/>
  <c r="O294" i="15"/>
  <c r="L292" i="15"/>
  <c r="P252" i="11"/>
  <c r="M250" i="11"/>
  <c r="P250" i="11" s="1"/>
  <c r="P252" i="5"/>
  <c r="M250" i="5"/>
  <c r="P250" i="5" s="1"/>
  <c r="L329" i="12"/>
  <c r="O329" i="12" s="1"/>
  <c r="L70" i="1"/>
  <c r="O70" i="1" s="1"/>
  <c r="L14" i="2"/>
  <c r="O14" i="2" s="1"/>
  <c r="L14" i="4"/>
  <c r="O14" i="4" s="1"/>
  <c r="O250" i="4"/>
  <c r="K324" i="1"/>
  <c r="L250" i="8"/>
  <c r="K92" i="1"/>
  <c r="N11" i="17"/>
  <c r="N9" i="17" s="1"/>
  <c r="O222" i="3"/>
  <c r="M250" i="14"/>
  <c r="P250" i="14" s="1"/>
  <c r="P252" i="14"/>
  <c r="M310" i="10"/>
  <c r="P310" i="10" s="1"/>
  <c r="P312" i="10"/>
  <c r="O314" i="14"/>
  <c r="L312" i="14"/>
  <c r="L94" i="13"/>
  <c r="O94" i="13" s="1"/>
  <c r="L292" i="5"/>
  <c r="O294" i="5"/>
  <c r="L312" i="4"/>
  <c r="O314" i="4"/>
  <c r="O45" i="14"/>
  <c r="L290" i="12"/>
  <c r="O290" i="12" s="1"/>
  <c r="L118" i="10"/>
  <c r="O118" i="10" s="1"/>
  <c r="L43" i="6"/>
  <c r="L41" i="6" s="1"/>
  <c r="L26" i="1"/>
  <c r="L16" i="1" s="1"/>
  <c r="M118" i="4"/>
  <c r="P118" i="4" s="1"/>
  <c r="L57" i="1"/>
  <c r="L55" i="1" s="1"/>
  <c r="P140" i="5"/>
  <c r="L23" i="1"/>
  <c r="O23" i="1" s="1"/>
  <c r="N292" i="1"/>
  <c r="N34" i="1"/>
  <c r="N14" i="1" s="1"/>
  <c r="P55" i="14"/>
  <c r="N271" i="13"/>
  <c r="M66" i="11"/>
  <c r="P66" i="11" s="1"/>
  <c r="O292" i="9"/>
  <c r="L290" i="9"/>
  <c r="O290" i="9" s="1"/>
  <c r="N28" i="9"/>
  <c r="M94" i="10"/>
  <c r="P94" i="10" s="1"/>
  <c r="P292" i="9"/>
  <c r="M290" i="9"/>
  <c r="P290" i="9" s="1"/>
  <c r="L120" i="2"/>
  <c r="O122" i="2"/>
  <c r="O34" i="16"/>
  <c r="O294" i="17"/>
  <c r="L292" i="17"/>
  <c r="O98" i="17"/>
  <c r="L96" i="17"/>
  <c r="P252" i="4"/>
  <c r="M250" i="4"/>
  <c r="P250" i="4" s="1"/>
  <c r="M220" i="13"/>
  <c r="O70" i="13"/>
  <c r="M220" i="12"/>
  <c r="P220" i="12" s="1"/>
  <c r="O640" i="6"/>
  <c r="K267" i="1"/>
  <c r="K113" i="1"/>
  <c r="P224" i="1"/>
  <c r="P252" i="17"/>
  <c r="M250" i="17"/>
  <c r="P250" i="17" s="1"/>
  <c r="L312" i="18"/>
  <c r="O314" i="18"/>
  <c r="L142" i="16"/>
  <c r="O144" i="16"/>
  <c r="L120" i="11"/>
  <c r="O122" i="11"/>
  <c r="L292" i="8"/>
  <c r="O294" i="8"/>
  <c r="L142" i="5"/>
  <c r="O144" i="5"/>
  <c r="L22" i="4"/>
  <c r="O22" i="4" s="1"/>
  <c r="O331" i="7"/>
  <c r="M310" i="4"/>
  <c r="P310" i="4" s="1"/>
  <c r="P312" i="4"/>
  <c r="N37" i="10"/>
  <c r="P222" i="9"/>
  <c r="P43" i="15"/>
  <c r="O26" i="17"/>
  <c r="L329" i="14"/>
  <c r="O329" i="14" s="1"/>
  <c r="M140" i="13"/>
  <c r="L273" i="8"/>
  <c r="O43" i="14"/>
  <c r="L271" i="9"/>
  <c r="O271" i="9" s="1"/>
  <c r="M96" i="8"/>
  <c r="P55" i="10"/>
  <c r="L333" i="1"/>
  <c r="O333" i="1" s="1"/>
  <c r="P220" i="9"/>
  <c r="L11" i="6"/>
  <c r="L9" i="6" s="1"/>
  <c r="N222" i="1"/>
  <c r="L22" i="3"/>
  <c r="O22" i="3" s="1"/>
  <c r="O57" i="4"/>
  <c r="L142" i="3"/>
  <c r="O142" i="3" s="1"/>
  <c r="O24" i="17"/>
  <c r="L14" i="17"/>
  <c r="O14" i="17" s="1"/>
  <c r="P142" i="16"/>
  <c r="M140" i="16"/>
  <c r="P140" i="16" s="1"/>
  <c r="O96" i="14"/>
  <c r="L120" i="12"/>
  <c r="O122" i="12"/>
  <c r="O292" i="6"/>
  <c r="L290" i="6"/>
  <c r="O290" i="6" s="1"/>
  <c r="P292" i="6"/>
  <c r="M290" i="6"/>
  <c r="P290" i="6" s="1"/>
  <c r="O140" i="17"/>
  <c r="L11" i="15"/>
  <c r="O31" i="15"/>
  <c r="L29" i="15"/>
  <c r="O29" i="15" s="1"/>
  <c r="N220" i="14"/>
  <c r="N37" i="14" s="1"/>
  <c r="M66" i="9"/>
  <c r="P66" i="9" s="1"/>
  <c r="N273" i="1"/>
  <c r="L14" i="10"/>
  <c r="O14" i="10" s="1"/>
  <c r="M271" i="8"/>
  <c r="P271" i="8" s="1"/>
  <c r="M290" i="7"/>
  <c r="P290" i="7" s="1"/>
  <c r="N140" i="6"/>
  <c r="M66" i="6"/>
  <c r="P66" i="6" s="1"/>
  <c r="O252" i="4"/>
  <c r="O254" i="4"/>
  <c r="L14" i="5"/>
  <c r="O14" i="5" s="1"/>
  <c r="N94" i="1"/>
  <c r="N271" i="2"/>
  <c r="P271" i="2" s="1"/>
  <c r="N53" i="4"/>
  <c r="N37" i="4" s="1"/>
  <c r="K628" i="1"/>
  <c r="P292" i="14"/>
  <c r="M290" i="14"/>
  <c r="P290" i="14" s="1"/>
  <c r="O32" i="18"/>
  <c r="L30" i="18"/>
  <c r="N29" i="11"/>
  <c r="N28" i="11" s="1"/>
  <c r="N11" i="11"/>
  <c r="N9" i="11" s="1"/>
  <c r="L68" i="10"/>
  <c r="O70" i="10"/>
  <c r="O122" i="9"/>
  <c r="L120" i="9"/>
  <c r="P43" i="4"/>
  <c r="K81" i="1"/>
  <c r="O314" i="3"/>
  <c r="L312" i="3"/>
  <c r="O273" i="2"/>
  <c r="O649" i="1"/>
  <c r="O26" i="8"/>
  <c r="M271" i="18"/>
  <c r="P271" i="18" s="1"/>
  <c r="P273" i="18"/>
  <c r="O98" i="9"/>
  <c r="L96" i="9"/>
  <c r="P252" i="9"/>
  <c r="M250" i="9"/>
  <c r="P250" i="9" s="1"/>
  <c r="L252" i="5"/>
  <c r="O254" i="5"/>
  <c r="O122" i="4"/>
  <c r="L120" i="4"/>
  <c r="M28" i="18"/>
  <c r="P28" i="18" s="1"/>
  <c r="P29" i="18"/>
  <c r="P331" i="17"/>
  <c r="M329" i="17"/>
  <c r="P329" i="17" s="1"/>
  <c r="O26" i="16"/>
  <c r="L16" i="16"/>
  <c r="O16" i="16" s="1"/>
  <c r="P43" i="12"/>
  <c r="M41" i="12"/>
  <c r="P22" i="7"/>
  <c r="M12" i="7"/>
  <c r="O41" i="17"/>
  <c r="O19" i="16"/>
  <c r="P49" i="16"/>
  <c r="M26" i="16"/>
  <c r="M20" i="16" s="1"/>
  <c r="M49" i="1"/>
  <c r="P9" i="13"/>
  <c r="P68" i="14"/>
  <c r="P312" i="12"/>
  <c r="M312" i="1"/>
  <c r="N20" i="12"/>
  <c r="N18" i="12" s="1"/>
  <c r="N12" i="12"/>
  <c r="N10" i="12" s="1"/>
  <c r="P220" i="11"/>
  <c r="P220" i="8"/>
  <c r="M68" i="12"/>
  <c r="P74" i="12"/>
  <c r="O312" i="7"/>
  <c r="L310" i="7"/>
  <c r="O310" i="7" s="1"/>
  <c r="N290" i="1"/>
  <c r="P220" i="2"/>
  <c r="O45" i="2"/>
  <c r="L45" i="1"/>
  <c r="L43" i="2"/>
  <c r="L22" i="2"/>
  <c r="N12" i="18"/>
  <c r="N10" i="18" s="1"/>
  <c r="N20" i="18"/>
  <c r="N18" i="18" s="1"/>
  <c r="L53" i="18"/>
  <c r="O53" i="18" s="1"/>
  <c r="P140" i="17"/>
  <c r="L310" i="9"/>
  <c r="O310" i="9" s="1"/>
  <c r="O312" i="9"/>
  <c r="P96" i="6"/>
  <c r="M94" i="6"/>
  <c r="P94" i="6" s="1"/>
  <c r="P43" i="9"/>
  <c r="M41" i="9"/>
  <c r="M9" i="15"/>
  <c r="P11" i="15"/>
  <c r="O34" i="8"/>
  <c r="O23" i="6"/>
  <c r="L13" i="6"/>
  <c r="O13" i="6" s="1"/>
  <c r="L271" i="13"/>
  <c r="O273" i="13"/>
  <c r="M331" i="4"/>
  <c r="M140" i="4"/>
  <c r="P140" i="4" s="1"/>
  <c r="P142" i="3"/>
  <c r="P96" i="3"/>
  <c r="P11" i="2"/>
  <c r="M9" i="2"/>
  <c r="L34" i="1"/>
  <c r="L28" i="6"/>
  <c r="O29" i="6"/>
  <c r="M28" i="4"/>
  <c r="P28" i="4" s="1"/>
  <c r="P29" i="4"/>
  <c r="K93" i="1"/>
  <c r="O640" i="4"/>
  <c r="L638" i="4"/>
  <c r="O294" i="2"/>
  <c r="L292" i="2"/>
  <c r="L294" i="1"/>
  <c r="O294" i="1" s="1"/>
  <c r="L13" i="2"/>
  <c r="O13" i="2" s="1"/>
  <c r="L250" i="6"/>
  <c r="O252" i="6"/>
  <c r="O32" i="3"/>
  <c r="L30" i="3"/>
  <c r="O30" i="3" s="1"/>
  <c r="K618" i="1"/>
  <c r="K616" i="1"/>
  <c r="K614" i="1"/>
  <c r="K612" i="1"/>
  <c r="K615" i="1"/>
  <c r="K619" i="1"/>
  <c r="K613" i="1"/>
  <c r="K617" i="1"/>
  <c r="K611" i="1"/>
  <c r="P252" i="2"/>
  <c r="M252" i="1"/>
  <c r="P70" i="1"/>
  <c r="N41" i="11"/>
  <c r="M140" i="3"/>
  <c r="M94" i="3"/>
  <c r="M12" i="3"/>
  <c r="P22" i="3"/>
  <c r="N310" i="2"/>
  <c r="P310" i="2" s="1"/>
  <c r="N312" i="1"/>
  <c r="O31" i="2"/>
  <c r="L29" i="2"/>
  <c r="L11" i="2"/>
  <c r="L31" i="1"/>
  <c r="L11" i="1" s="1"/>
  <c r="N12" i="11"/>
  <c r="N10" i="11" s="1"/>
  <c r="N20" i="11"/>
  <c r="N18" i="11" s="1"/>
  <c r="L16" i="6"/>
  <c r="O16" i="6" s="1"/>
  <c r="O26" i="6"/>
  <c r="N12" i="5"/>
  <c r="N10" i="5" s="1"/>
  <c r="N20" i="5"/>
  <c r="N18" i="5" s="1"/>
  <c r="L273" i="3"/>
  <c r="O275" i="3"/>
  <c r="L275" i="1"/>
  <c r="O275" i="1" s="1"/>
  <c r="M9" i="3"/>
  <c r="P11" i="3"/>
  <c r="L13" i="4"/>
  <c r="O13" i="4" s="1"/>
  <c r="P148" i="15"/>
  <c r="M26" i="15"/>
  <c r="M142" i="15"/>
  <c r="M142" i="1" s="1"/>
  <c r="M148" i="1"/>
  <c r="P148" i="1" s="1"/>
  <c r="L30" i="12"/>
  <c r="O30" i="12" s="1"/>
  <c r="O32" i="12"/>
  <c r="L14" i="13"/>
  <c r="O14" i="13" s="1"/>
  <c r="O24" i="13"/>
  <c r="M271" i="10"/>
  <c r="P271" i="10" s="1"/>
  <c r="P273" i="10"/>
  <c r="O24" i="7"/>
  <c r="L14" i="7"/>
  <c r="O14" i="7" s="1"/>
  <c r="O254" i="7"/>
  <c r="L252" i="7"/>
  <c r="L636" i="17"/>
  <c r="O636" i="17" s="1"/>
  <c r="O638" i="17"/>
  <c r="O26" i="14"/>
  <c r="L16" i="14"/>
  <c r="O16" i="14" s="1"/>
  <c r="P43" i="16"/>
  <c r="M41" i="16"/>
  <c r="P9" i="11"/>
  <c r="P337" i="9"/>
  <c r="M331" i="9"/>
  <c r="M26" i="9"/>
  <c r="M20" i="9" s="1"/>
  <c r="M28" i="7"/>
  <c r="P28" i="7" s="1"/>
  <c r="P29" i="7"/>
  <c r="O23" i="10"/>
  <c r="L13" i="10"/>
  <c r="O13" i="10" s="1"/>
  <c r="P68" i="8"/>
  <c r="M66" i="8"/>
  <c r="P66" i="8" s="1"/>
  <c r="O43" i="10"/>
  <c r="L41" i="10"/>
  <c r="P120" i="8"/>
  <c r="M118" i="8"/>
  <c r="P118" i="8" s="1"/>
  <c r="O640" i="9"/>
  <c r="L638" i="9"/>
  <c r="O11" i="11"/>
  <c r="L9" i="11"/>
  <c r="L13" i="9"/>
  <c r="O13" i="9" s="1"/>
  <c r="O23" i="9"/>
  <c r="L33" i="1"/>
  <c r="O33" i="1" s="1"/>
  <c r="O353" i="1"/>
  <c r="O224" i="2"/>
  <c r="L224" i="1"/>
  <c r="O224" i="1" s="1"/>
  <c r="L222" i="2"/>
  <c r="N20" i="8"/>
  <c r="N18" i="8" s="1"/>
  <c r="N12" i="8"/>
  <c r="N10" i="8" s="1"/>
  <c r="N8" i="8" s="1"/>
  <c r="P142" i="18"/>
  <c r="M140" i="18"/>
  <c r="P140" i="18" s="1"/>
  <c r="O640" i="17"/>
  <c r="P41" i="18"/>
  <c r="O224" i="17"/>
  <c r="L222" i="17"/>
  <c r="O23" i="17"/>
  <c r="L13" i="17"/>
  <c r="O13" i="17" s="1"/>
  <c r="O11" i="16"/>
  <c r="L9" i="16"/>
  <c r="O292" i="14"/>
  <c r="L290" i="14"/>
  <c r="O290" i="14" s="1"/>
  <c r="O142" i="14"/>
  <c r="L140" i="14"/>
  <c r="O140" i="14" s="1"/>
  <c r="O23" i="11"/>
  <c r="L13" i="11"/>
  <c r="O13" i="11" s="1"/>
  <c r="L30" i="16"/>
  <c r="O30" i="16" s="1"/>
  <c r="O32" i="16"/>
  <c r="M28" i="10"/>
  <c r="P28" i="10" s="1"/>
  <c r="P29" i="10"/>
  <c r="P9" i="7"/>
  <c r="L11" i="8"/>
  <c r="O31" i="8"/>
  <c r="L29" i="8"/>
  <c r="O26" i="7"/>
  <c r="L16" i="7"/>
  <c r="O16" i="7" s="1"/>
  <c r="M53" i="11"/>
  <c r="P53" i="11" s="1"/>
  <c r="O292" i="10"/>
  <c r="L290" i="10"/>
  <c r="O290" i="10" s="1"/>
  <c r="N12" i="10"/>
  <c r="N10" i="10" s="1"/>
  <c r="N20" i="10"/>
  <c r="N18" i="10" s="1"/>
  <c r="M329" i="7"/>
  <c r="P329" i="7" s="1"/>
  <c r="P331" i="7"/>
  <c r="N41" i="7"/>
  <c r="N37" i="7" s="1"/>
  <c r="P102" i="18"/>
  <c r="M26" i="18"/>
  <c r="M20" i="18" s="1"/>
  <c r="M9" i="18"/>
  <c r="L329" i="18"/>
  <c r="O329" i="18" s="1"/>
  <c r="O273" i="17"/>
  <c r="L271" i="17"/>
  <c r="O271" i="17" s="1"/>
  <c r="M94" i="17"/>
  <c r="P94" i="17" s="1"/>
  <c r="N220" i="17"/>
  <c r="P220" i="17" s="1"/>
  <c r="O70" i="17"/>
  <c r="L68" i="17"/>
  <c r="L290" i="16"/>
  <c r="O290" i="16" s="1"/>
  <c r="O31" i="16"/>
  <c r="L29" i="16"/>
  <c r="P19" i="17"/>
  <c r="N11" i="14"/>
  <c r="N9" i="14" s="1"/>
  <c r="L271" i="16"/>
  <c r="O271" i="16" s="1"/>
  <c r="M12" i="16"/>
  <c r="P22" i="16"/>
  <c r="O43" i="15"/>
  <c r="L41" i="15"/>
  <c r="L22" i="16"/>
  <c r="L55" i="16"/>
  <c r="O57" i="16"/>
  <c r="L30" i="15"/>
  <c r="O32" i="15"/>
  <c r="O32" i="14"/>
  <c r="L30" i="14"/>
  <c r="O32" i="13"/>
  <c r="L30" i="13"/>
  <c r="O30" i="13" s="1"/>
  <c r="N20" i="13"/>
  <c r="N18" i="13" s="1"/>
  <c r="N12" i="13"/>
  <c r="N10" i="13" s="1"/>
  <c r="L66" i="13"/>
  <c r="O66" i="13" s="1"/>
  <c r="O68" i="13"/>
  <c r="O34" i="14"/>
  <c r="L13" i="14"/>
  <c r="O13" i="14" s="1"/>
  <c r="O273" i="12"/>
  <c r="O70" i="11"/>
  <c r="L68" i="11"/>
  <c r="P120" i="10"/>
  <c r="M118" i="10"/>
  <c r="P118" i="10" s="1"/>
  <c r="O53" i="12"/>
  <c r="L14" i="11"/>
  <c r="O14" i="11" s="1"/>
  <c r="M26" i="8"/>
  <c r="M20" i="8" s="1"/>
  <c r="M53" i="7"/>
  <c r="P53" i="7" s="1"/>
  <c r="O23" i="7"/>
  <c r="L13" i="7"/>
  <c r="O13" i="7" s="1"/>
  <c r="O23" i="13"/>
  <c r="L13" i="13"/>
  <c r="O13" i="13" s="1"/>
  <c r="P19" i="9"/>
  <c r="M220" i="7"/>
  <c r="P220" i="7" s="1"/>
  <c r="N20" i="6"/>
  <c r="N18" i="6" s="1"/>
  <c r="N12" i="6"/>
  <c r="N10" i="6" s="1"/>
  <c r="O34" i="13"/>
  <c r="P41" i="8"/>
  <c r="M26" i="4"/>
  <c r="M20" i="4" s="1"/>
  <c r="L16" i="2"/>
  <c r="O16" i="2" s="1"/>
  <c r="O26" i="2"/>
  <c r="O31" i="5"/>
  <c r="L29" i="5"/>
  <c r="L11" i="5"/>
  <c r="O23" i="3"/>
  <c r="L13" i="3"/>
  <c r="O13" i="3" s="1"/>
  <c r="O144" i="2"/>
  <c r="L144" i="1"/>
  <c r="O144" i="1" s="1"/>
  <c r="L142" i="2"/>
  <c r="N29" i="2"/>
  <c r="N28" i="2" s="1"/>
  <c r="N11" i="2"/>
  <c r="N9" i="2" s="1"/>
  <c r="P222" i="5"/>
  <c r="N220" i="5"/>
  <c r="P220" i="5" s="1"/>
  <c r="P98" i="1"/>
  <c r="O250" i="2"/>
  <c r="P122" i="1"/>
  <c r="O30" i="6"/>
  <c r="O32" i="10"/>
  <c r="O331" i="6"/>
  <c r="O55" i="4"/>
  <c r="L250" i="9"/>
  <c r="O250" i="9" s="1"/>
  <c r="O252" i="9"/>
  <c r="O331" i="5"/>
  <c r="L329" i="5"/>
  <c r="O329" i="5" s="1"/>
  <c r="L30" i="2"/>
  <c r="O30" i="2" s="1"/>
  <c r="O32" i="2"/>
  <c r="N250" i="2"/>
  <c r="O23" i="18"/>
  <c r="L13" i="18"/>
  <c r="O13" i="18" s="1"/>
  <c r="P43" i="17"/>
  <c r="M41" i="17"/>
  <c r="P142" i="14"/>
  <c r="M140" i="14"/>
  <c r="P140" i="14" s="1"/>
  <c r="M250" i="13"/>
  <c r="P250" i="13" s="1"/>
  <c r="P41" i="15"/>
  <c r="M28" i="12"/>
  <c r="P28" i="12" s="1"/>
  <c r="P29" i="12"/>
  <c r="O19" i="13"/>
  <c r="P337" i="11"/>
  <c r="M331" i="11"/>
  <c r="M26" i="11"/>
  <c r="M20" i="11" s="1"/>
  <c r="L16" i="10"/>
  <c r="O16" i="10" s="1"/>
  <c r="O26" i="10"/>
  <c r="N12" i="7"/>
  <c r="N10" i="7" s="1"/>
  <c r="N20" i="7"/>
  <c r="N18" i="7" s="1"/>
  <c r="M12" i="9"/>
  <c r="P22" i="9"/>
  <c r="P142" i="6"/>
  <c r="M140" i="6"/>
  <c r="O142" i="9"/>
  <c r="N140" i="9"/>
  <c r="P140" i="9" s="1"/>
  <c r="P19" i="2"/>
  <c r="M28" i="2"/>
  <c r="P28" i="2" s="1"/>
  <c r="P29" i="2"/>
  <c r="P96" i="18"/>
  <c r="M94" i="18"/>
  <c r="P94" i="18" s="1"/>
  <c r="P142" i="17"/>
  <c r="O19" i="17"/>
  <c r="M20" i="17"/>
  <c r="M18" i="17" s="1"/>
  <c r="M12" i="17"/>
  <c r="P22" i="17"/>
  <c r="O329" i="17"/>
  <c r="N20" i="15"/>
  <c r="N18" i="15" s="1"/>
  <c r="N12" i="15"/>
  <c r="N10" i="15" s="1"/>
  <c r="P22" i="14"/>
  <c r="M12" i="14"/>
  <c r="P118" i="16"/>
  <c r="O11" i="13"/>
  <c r="L9" i="13"/>
  <c r="P19" i="18"/>
  <c r="O32" i="17"/>
  <c r="L30" i="17"/>
  <c r="O30" i="17" s="1"/>
  <c r="O57" i="17"/>
  <c r="L55" i="17"/>
  <c r="L43" i="18"/>
  <c r="L22" i="18"/>
  <c r="O45" i="18"/>
  <c r="O142" i="17"/>
  <c r="M9" i="16"/>
  <c r="P11" i="16"/>
  <c r="L13" i="16"/>
  <c r="O13" i="16" s="1"/>
  <c r="O23" i="16"/>
  <c r="O640" i="14"/>
  <c r="L638" i="14"/>
  <c r="L638" i="16"/>
  <c r="O640" i="16"/>
  <c r="L41" i="16"/>
  <c r="O224" i="15"/>
  <c r="L222" i="15"/>
  <c r="L22" i="15"/>
  <c r="O120" i="14"/>
  <c r="L118" i="14"/>
  <c r="O118" i="14" s="1"/>
  <c r="O31" i="13"/>
  <c r="L29" i="13"/>
  <c r="L14" i="16"/>
  <c r="O14" i="16" s="1"/>
  <c r="O24" i="16"/>
  <c r="O24" i="14"/>
  <c r="L14" i="14"/>
  <c r="O14" i="14" s="1"/>
  <c r="M41" i="13"/>
  <c r="P43" i="14"/>
  <c r="M41" i="14"/>
  <c r="O45" i="13"/>
  <c r="L22" i="13"/>
  <c r="L43" i="13"/>
  <c r="O26" i="12"/>
  <c r="L16" i="12"/>
  <c r="O16" i="12" s="1"/>
  <c r="L94" i="12"/>
  <c r="O94" i="12" s="1"/>
  <c r="N12" i="17"/>
  <c r="N10" i="17" s="1"/>
  <c r="N20" i="17"/>
  <c r="N18" i="17" s="1"/>
  <c r="N271" i="12"/>
  <c r="N37" i="12" s="1"/>
  <c r="M9" i="12"/>
  <c r="M12" i="10"/>
  <c r="P22" i="10"/>
  <c r="M12" i="12"/>
  <c r="P22" i="12"/>
  <c r="P292" i="16"/>
  <c r="M290" i="16"/>
  <c r="P290" i="16" s="1"/>
  <c r="M290" i="12"/>
  <c r="P290" i="12" s="1"/>
  <c r="O640" i="8"/>
  <c r="L638" i="8"/>
  <c r="L30" i="11"/>
  <c r="O30" i="11" s="1"/>
  <c r="O32" i="11"/>
  <c r="O41" i="14"/>
  <c r="O331" i="8"/>
  <c r="L329" i="8"/>
  <c r="O329" i="8" s="1"/>
  <c r="P22" i="8"/>
  <c r="M12" i="8"/>
  <c r="O32" i="9"/>
  <c r="L30" i="9"/>
  <c r="O30" i="9" s="1"/>
  <c r="O70" i="7"/>
  <c r="L68" i="7"/>
  <c r="O333" i="13"/>
  <c r="L331" i="13"/>
  <c r="O19" i="11"/>
  <c r="L271" i="10"/>
  <c r="O271" i="10" s="1"/>
  <c r="O23" i="8"/>
  <c r="L13" i="8"/>
  <c r="O13" i="8" s="1"/>
  <c r="O31" i="10"/>
  <c r="L29" i="10"/>
  <c r="L11" i="10"/>
  <c r="P11" i="9"/>
  <c r="M9" i="9"/>
  <c r="L16" i="5"/>
  <c r="O16" i="5" s="1"/>
  <c r="O26" i="5"/>
  <c r="O21" i="1"/>
  <c r="L19" i="1"/>
  <c r="O31" i="7"/>
  <c r="L29" i="7"/>
  <c r="L11" i="7"/>
  <c r="O329" i="6"/>
  <c r="P102" i="6"/>
  <c r="M26" i="6"/>
  <c r="M20" i="6" s="1"/>
  <c r="M331" i="8"/>
  <c r="P120" i="3"/>
  <c r="M120" i="1"/>
  <c r="M118" i="3"/>
  <c r="L24" i="1"/>
  <c r="O74" i="1"/>
  <c r="N96" i="1"/>
  <c r="L66" i="18"/>
  <c r="O68" i="18"/>
  <c r="N142" i="1"/>
  <c r="P19" i="5"/>
  <c r="P68" i="3"/>
  <c r="M66" i="3"/>
  <c r="P66" i="3" s="1"/>
  <c r="N12" i="3"/>
  <c r="N10" i="3" s="1"/>
  <c r="N20" i="3"/>
  <c r="N18" i="3" s="1"/>
  <c r="O640" i="18"/>
  <c r="L638" i="18"/>
  <c r="M250" i="2"/>
  <c r="P120" i="5"/>
  <c r="N55" i="1"/>
  <c r="N53" i="1" s="1"/>
  <c r="P68" i="2"/>
  <c r="M66" i="2"/>
  <c r="O32" i="6"/>
  <c r="O30" i="10"/>
  <c r="L220" i="8"/>
  <c r="O220" i="8" s="1"/>
  <c r="O222" i="8"/>
  <c r="O24" i="6"/>
  <c r="L14" i="6"/>
  <c r="O14" i="6" s="1"/>
  <c r="N11" i="3"/>
  <c r="N9" i="3" s="1"/>
  <c r="O640" i="2"/>
  <c r="L638" i="2"/>
  <c r="P222" i="2"/>
  <c r="M222" i="1"/>
  <c r="O55" i="6"/>
  <c r="L53" i="6"/>
  <c r="P94" i="5"/>
  <c r="O16" i="8"/>
  <c r="L14" i="3"/>
  <c r="O14" i="3" s="1"/>
  <c r="O24" i="18"/>
  <c r="L14" i="18"/>
  <c r="O14" i="18" s="1"/>
  <c r="L636" i="6"/>
  <c r="O636" i="6" s="1"/>
  <c r="O638" i="6"/>
  <c r="P11" i="5"/>
  <c r="M9" i="5"/>
  <c r="P222" i="6"/>
  <c r="N220" i="6"/>
  <c r="K304" i="1"/>
  <c r="K111" i="1"/>
  <c r="L314" i="1"/>
  <c r="O314" i="1" s="1"/>
  <c r="O314" i="2"/>
  <c r="L312" i="2"/>
  <c r="P22" i="5"/>
  <c r="M12" i="5"/>
  <c r="N329" i="3"/>
  <c r="N331" i="1"/>
  <c r="O122" i="3"/>
  <c r="L120" i="3"/>
  <c r="L122" i="1"/>
  <c r="O122" i="1" s="1"/>
  <c r="P19" i="3"/>
  <c r="O24" i="15"/>
  <c r="L14" i="15"/>
  <c r="O14" i="15" s="1"/>
  <c r="P74" i="10"/>
  <c r="M26" i="10"/>
  <c r="M20" i="10" s="1"/>
  <c r="M68" i="10"/>
  <c r="M74" i="1"/>
  <c r="P74" i="1" s="1"/>
  <c r="O292" i="13"/>
  <c r="L290" i="13"/>
  <c r="O290" i="13" s="1"/>
  <c r="O31" i="12"/>
  <c r="L11" i="12"/>
  <c r="L29" i="12"/>
  <c r="O45" i="8"/>
  <c r="L43" i="8"/>
  <c r="L22" i="8"/>
  <c r="P22" i="6"/>
  <c r="M12" i="6"/>
  <c r="P11" i="6"/>
  <c r="M9" i="6"/>
  <c r="O640" i="5"/>
  <c r="L638" i="5"/>
  <c r="N118" i="5"/>
  <c r="N120" i="1"/>
  <c r="M337" i="1"/>
  <c r="P337" i="1" s="1"/>
  <c r="O337" i="1"/>
  <c r="P53" i="3"/>
  <c r="I367" i="1"/>
  <c r="K367" i="1" s="1"/>
  <c r="K369" i="1"/>
  <c r="P290" i="2"/>
  <c r="P337" i="5"/>
  <c r="M26" i="5"/>
  <c r="L640" i="1"/>
  <c r="O648" i="1"/>
  <c r="P19" i="1"/>
  <c r="P222" i="4"/>
  <c r="M220" i="4"/>
  <c r="P220" i="4" s="1"/>
  <c r="M273" i="1"/>
  <c r="M12" i="18"/>
  <c r="P22" i="18"/>
  <c r="L290" i="18"/>
  <c r="O290" i="18" s="1"/>
  <c r="L22" i="17"/>
  <c r="M94" i="15"/>
  <c r="P94" i="15" s="1"/>
  <c r="P26" i="17"/>
  <c r="M16" i="17"/>
  <c r="P16" i="17" s="1"/>
  <c r="N37" i="15"/>
  <c r="M12" i="15"/>
  <c r="P22" i="15"/>
  <c r="P53" i="15"/>
  <c r="O23" i="15"/>
  <c r="L13" i="15"/>
  <c r="O13" i="15" s="1"/>
  <c r="O43" i="17"/>
  <c r="M68" i="16"/>
  <c r="P68" i="15"/>
  <c r="M66" i="15"/>
  <c r="P66" i="15" s="1"/>
  <c r="O120" i="16"/>
  <c r="L118" i="16"/>
  <c r="O118" i="16" s="1"/>
  <c r="N12" i="16"/>
  <c r="N10" i="16" s="1"/>
  <c r="N8" i="16" s="1"/>
  <c r="N20" i="16"/>
  <c r="N18" i="16" s="1"/>
  <c r="P55" i="15"/>
  <c r="P312" i="13"/>
  <c r="M310" i="13"/>
  <c r="P310" i="13" s="1"/>
  <c r="P29" i="13"/>
  <c r="M28" i="13"/>
  <c r="P28" i="13" s="1"/>
  <c r="N29" i="15"/>
  <c r="N28" i="15" s="1"/>
  <c r="N11" i="15"/>
  <c r="N9" i="15" s="1"/>
  <c r="M26" i="14"/>
  <c r="M20" i="14" s="1"/>
  <c r="P9" i="17"/>
  <c r="M66" i="14"/>
  <c r="P66" i="14" s="1"/>
  <c r="M26" i="12"/>
  <c r="M20" i="12" s="1"/>
  <c r="O19" i="14"/>
  <c r="P120" i="15"/>
  <c r="M118" i="15"/>
  <c r="P118" i="15" s="1"/>
  <c r="P22" i="13"/>
  <c r="M12" i="13"/>
  <c r="M310" i="12"/>
  <c r="P310" i="12" s="1"/>
  <c r="P43" i="11"/>
  <c r="M41" i="11"/>
  <c r="P337" i="10"/>
  <c r="M331" i="10"/>
  <c r="L41" i="12"/>
  <c r="O43" i="12"/>
  <c r="O640" i="10"/>
  <c r="L638" i="10"/>
  <c r="O26" i="9"/>
  <c r="L16" i="9"/>
  <c r="O16" i="9" s="1"/>
  <c r="P273" i="7"/>
  <c r="M271" i="7"/>
  <c r="L13" i="12"/>
  <c r="O13" i="12" s="1"/>
  <c r="P22" i="11"/>
  <c r="M12" i="11"/>
  <c r="L220" i="10"/>
  <c r="O220" i="10" s="1"/>
  <c r="O222" i="10"/>
  <c r="L43" i="7"/>
  <c r="O45" i="7"/>
  <c r="L22" i="7"/>
  <c r="N11" i="5"/>
  <c r="N9" i="5" s="1"/>
  <c r="L16" i="13"/>
  <c r="O16" i="13" s="1"/>
  <c r="O26" i="13"/>
  <c r="M118" i="6"/>
  <c r="P118" i="6" s="1"/>
  <c r="O29" i="11"/>
  <c r="L22" i="9"/>
  <c r="O57" i="9"/>
  <c r="L55" i="9"/>
  <c r="O640" i="7"/>
  <c r="L638" i="7"/>
  <c r="N11" i="6"/>
  <c r="N9" i="6" s="1"/>
  <c r="O55" i="11"/>
  <c r="L53" i="11"/>
  <c r="M9" i="10"/>
  <c r="P19" i="15"/>
  <c r="O70" i="9"/>
  <c r="L68" i="9"/>
  <c r="L290" i="7"/>
  <c r="O290" i="7" s="1"/>
  <c r="O43" i="5"/>
  <c r="L41" i="5"/>
  <c r="O640" i="15"/>
  <c r="L638" i="15"/>
  <c r="M28" i="6"/>
  <c r="P28" i="6" s="1"/>
  <c r="P29" i="6"/>
  <c r="M28" i="5"/>
  <c r="P28" i="5" s="1"/>
  <c r="P29" i="5"/>
  <c r="O31" i="4"/>
  <c r="L11" i="4"/>
  <c r="L29" i="4"/>
  <c r="L66" i="6"/>
  <c r="O66" i="6" s="1"/>
  <c r="O26" i="4"/>
  <c r="L16" i="4"/>
  <c r="O16" i="4" s="1"/>
  <c r="P30" i="3"/>
  <c r="M28" i="3"/>
  <c r="P28" i="3" s="1"/>
  <c r="O24" i="8"/>
  <c r="L14" i="8"/>
  <c r="O14" i="8" s="1"/>
  <c r="O96" i="6"/>
  <c r="L94" i="6"/>
  <c r="O94" i="6" s="1"/>
  <c r="N22" i="1"/>
  <c r="M20" i="2"/>
  <c r="P22" i="2"/>
  <c r="M12" i="2"/>
  <c r="L220" i="9"/>
  <c r="O220" i="9" s="1"/>
  <c r="O222" i="9"/>
  <c r="P102" i="3"/>
  <c r="M102" i="1"/>
  <c r="P102" i="1" s="1"/>
  <c r="M26" i="3"/>
  <c r="N68" i="1"/>
  <c r="N20" i="2"/>
  <c r="N18" i="2" s="1"/>
  <c r="N12" i="2"/>
  <c r="N10" i="2" s="1"/>
  <c r="O19" i="7"/>
  <c r="P41" i="4"/>
  <c r="P312" i="2"/>
  <c r="L32" i="1"/>
  <c r="M9" i="1"/>
  <c r="O9" i="17"/>
  <c r="O640" i="13"/>
  <c r="L638" i="13"/>
  <c r="M26" i="13"/>
  <c r="P337" i="13"/>
  <c r="M331" i="13"/>
  <c r="O32" i="8"/>
  <c r="L30" i="8"/>
  <c r="O30" i="8" s="1"/>
  <c r="O24" i="9"/>
  <c r="L14" i="9"/>
  <c r="O14" i="9" s="1"/>
  <c r="O23" i="5"/>
  <c r="L13" i="5"/>
  <c r="O13" i="5" s="1"/>
  <c r="M66" i="17"/>
  <c r="P66" i="17" s="1"/>
  <c r="P68" i="17"/>
  <c r="O224" i="16"/>
  <c r="L222" i="16"/>
  <c r="O34" i="12"/>
  <c r="O19" i="9"/>
  <c r="M12" i="4"/>
  <c r="P22" i="4"/>
  <c r="P222" i="3"/>
  <c r="M220" i="3"/>
  <c r="P220" i="3" s="1"/>
  <c r="M331" i="5"/>
  <c r="M28" i="1"/>
  <c r="P28" i="1" s="1"/>
  <c r="P29" i="1"/>
  <c r="O32" i="4"/>
  <c r="L30" i="4"/>
  <c r="O30" i="4" s="1"/>
  <c r="O26" i="11"/>
  <c r="L16" i="11"/>
  <c r="O16" i="11" s="1"/>
  <c r="P9" i="8"/>
  <c r="O98" i="3"/>
  <c r="L98" i="1"/>
  <c r="O98" i="1" s="1"/>
  <c r="L96" i="3"/>
  <c r="M55" i="1"/>
  <c r="M22" i="1"/>
  <c r="P57" i="1"/>
  <c r="L29" i="9"/>
  <c r="O31" i="9"/>
  <c r="L11" i="9"/>
  <c r="L30" i="7"/>
  <c r="O30" i="7" s="1"/>
  <c r="O32" i="7"/>
  <c r="P331" i="3"/>
  <c r="M292" i="1"/>
  <c r="M9" i="4"/>
  <c r="O331" i="2"/>
  <c r="L329" i="2"/>
  <c r="L118" i="15" l="1"/>
  <c r="O118" i="15" s="1"/>
  <c r="O222" i="5"/>
  <c r="L636" i="3"/>
  <c r="O636" i="3" s="1"/>
  <c r="O273" i="15"/>
  <c r="M94" i="14"/>
  <c r="P94" i="14" s="1"/>
  <c r="L271" i="11"/>
  <c r="O271" i="11" s="1"/>
  <c r="M96" i="1"/>
  <c r="P96" i="1" s="1"/>
  <c r="L118" i="7"/>
  <c r="O118" i="7" s="1"/>
  <c r="O292" i="3"/>
  <c r="O11" i="18"/>
  <c r="L118" i="18"/>
  <c r="O118" i="18" s="1"/>
  <c r="N8" i="12"/>
  <c r="P20" i="9"/>
  <c r="O292" i="4"/>
  <c r="N8" i="18"/>
  <c r="L66" i="15"/>
  <c r="O66" i="15" s="1"/>
  <c r="N329" i="1"/>
  <c r="P68" i="7"/>
  <c r="L94" i="10"/>
  <c r="O94" i="10" s="1"/>
  <c r="M329" i="15"/>
  <c r="P329" i="15" s="1"/>
  <c r="O331" i="3"/>
  <c r="N8" i="7"/>
  <c r="L66" i="2"/>
  <c r="O66" i="2" s="1"/>
  <c r="O271" i="2"/>
  <c r="L20" i="6"/>
  <c r="O20" i="6" s="1"/>
  <c r="L271" i="4"/>
  <c r="O271" i="4" s="1"/>
  <c r="O55" i="2"/>
  <c r="O120" i="13"/>
  <c r="O222" i="18"/>
  <c r="L329" i="9"/>
  <c r="O329" i="9" s="1"/>
  <c r="P252" i="1"/>
  <c r="O273" i="5"/>
  <c r="O120" i="5"/>
  <c r="L20" i="11"/>
  <c r="L18" i="11" s="1"/>
  <c r="O18" i="11" s="1"/>
  <c r="L20" i="12"/>
  <c r="L18" i="12" s="1"/>
  <c r="O18" i="12" s="1"/>
  <c r="L66" i="14"/>
  <c r="O66" i="14" s="1"/>
  <c r="N118" i="1"/>
  <c r="O312" i="16"/>
  <c r="O55" i="15"/>
  <c r="N8" i="13"/>
  <c r="L94" i="2"/>
  <c r="O94" i="2" s="1"/>
  <c r="O22" i="12"/>
  <c r="L9" i="3"/>
  <c r="O9" i="3" s="1"/>
  <c r="N8" i="17"/>
  <c r="L140" i="11"/>
  <c r="O140" i="11" s="1"/>
  <c r="L12" i="14"/>
  <c r="O12" i="14" s="1"/>
  <c r="M16" i="7"/>
  <c r="P16" i="7" s="1"/>
  <c r="O22" i="14"/>
  <c r="O222" i="11"/>
  <c r="P26" i="7"/>
  <c r="P66" i="18"/>
  <c r="O66" i="18"/>
  <c r="L220" i="7"/>
  <c r="O220" i="7" s="1"/>
  <c r="O22" i="6"/>
  <c r="N310" i="1"/>
  <c r="L250" i="12"/>
  <c r="O250" i="12" s="1"/>
  <c r="L41" i="4"/>
  <c r="O41" i="4" s="1"/>
  <c r="O11" i="14"/>
  <c r="O142" i="12"/>
  <c r="P220" i="14"/>
  <c r="O220" i="14"/>
  <c r="O43" i="6"/>
  <c r="O222" i="6"/>
  <c r="P140" i="13"/>
  <c r="L271" i="14"/>
  <c r="O271" i="14" s="1"/>
  <c r="M329" i="6"/>
  <c r="P329" i="6" s="1"/>
  <c r="L94" i="15"/>
  <c r="O94" i="15" s="1"/>
  <c r="L140" i="8"/>
  <c r="O140" i="8" s="1"/>
  <c r="L66" i="12"/>
  <c r="O66" i="12" s="1"/>
  <c r="N8" i="10"/>
  <c r="L271" i="7"/>
  <c r="O271" i="7" s="1"/>
  <c r="P292" i="1"/>
  <c r="L53" i="10"/>
  <c r="O53" i="10" s="1"/>
  <c r="O22" i="11"/>
  <c r="L66" i="16"/>
  <c r="O66" i="16" s="1"/>
  <c r="O16" i="1"/>
  <c r="O55" i="3"/>
  <c r="P220" i="13"/>
  <c r="O53" i="6"/>
  <c r="O142" i="15"/>
  <c r="M329" i="14"/>
  <c r="P329" i="14" s="1"/>
  <c r="N37" i="6"/>
  <c r="N8" i="9"/>
  <c r="O638" i="11"/>
  <c r="L250" i="13"/>
  <c r="O250" i="13" s="1"/>
  <c r="O96" i="7"/>
  <c r="P140" i="6"/>
  <c r="P331" i="18"/>
  <c r="L250" i="17"/>
  <c r="O250" i="17" s="1"/>
  <c r="O222" i="4"/>
  <c r="N11" i="1"/>
  <c r="N9" i="1" s="1"/>
  <c r="O250" i="6"/>
  <c r="L94" i="8"/>
  <c r="O94" i="8" s="1"/>
  <c r="N37" i="16"/>
  <c r="O68" i="3"/>
  <c r="P222" i="1"/>
  <c r="L140" i="3"/>
  <c r="O140" i="3" s="1"/>
  <c r="P53" i="5"/>
  <c r="O20" i="14"/>
  <c r="L18" i="14"/>
  <c r="O18" i="14" s="1"/>
  <c r="O312" i="13"/>
  <c r="N37" i="13"/>
  <c r="O250" i="8"/>
  <c r="N37" i="8"/>
  <c r="O53" i="2"/>
  <c r="L329" i="15"/>
  <c r="O329" i="15" s="1"/>
  <c r="P273" i="1"/>
  <c r="L140" i="10"/>
  <c r="O140" i="10" s="1"/>
  <c r="O329" i="16"/>
  <c r="L66" i="4"/>
  <c r="O66" i="4" s="1"/>
  <c r="L53" i="13"/>
  <c r="O53" i="13" s="1"/>
  <c r="N8" i="6"/>
  <c r="N28" i="1"/>
  <c r="O140" i="6"/>
  <c r="N8" i="5"/>
  <c r="L28" i="3"/>
  <c r="O28" i="3" s="1"/>
  <c r="N8" i="14"/>
  <c r="O142" i="6"/>
  <c r="L140" i="7"/>
  <c r="O140" i="7" s="1"/>
  <c r="L94" i="18"/>
  <c r="O94" i="18" s="1"/>
  <c r="L331" i="1"/>
  <c r="O331" i="1" s="1"/>
  <c r="L41" i="9"/>
  <c r="O41" i="9" s="1"/>
  <c r="O331" i="4"/>
  <c r="L250" i="11"/>
  <c r="O250" i="11" s="1"/>
  <c r="O252" i="11"/>
  <c r="L12" i="5"/>
  <c r="O12" i="5" s="1"/>
  <c r="L271" i="18"/>
  <c r="O271" i="18" s="1"/>
  <c r="L250" i="3"/>
  <c r="O250" i="3" s="1"/>
  <c r="O252" i="3"/>
  <c r="L12" i="4"/>
  <c r="O12" i="4" s="1"/>
  <c r="O28" i="6"/>
  <c r="O55" i="14"/>
  <c r="O222" i="12"/>
  <c r="L220" i="12"/>
  <c r="O220" i="12" s="1"/>
  <c r="L250" i="16"/>
  <c r="O250" i="16" s="1"/>
  <c r="L12" i="10"/>
  <c r="O12" i="10" s="1"/>
  <c r="L140" i="18"/>
  <c r="O140" i="18" s="1"/>
  <c r="O120" i="6"/>
  <c r="L118" i="6"/>
  <c r="O118" i="6" s="1"/>
  <c r="O22" i="10"/>
  <c r="L310" i="11"/>
  <c r="O310" i="11" s="1"/>
  <c r="O312" i="11"/>
  <c r="O220" i="5"/>
  <c r="N37" i="3"/>
  <c r="L20" i="4"/>
  <c r="L18" i="4" s="1"/>
  <c r="O18" i="4" s="1"/>
  <c r="N37" i="18"/>
  <c r="L94" i="16"/>
  <c r="O94" i="16" s="1"/>
  <c r="L20" i="5"/>
  <c r="L18" i="5" s="1"/>
  <c r="O18" i="5" s="1"/>
  <c r="O26" i="1"/>
  <c r="O250" i="18"/>
  <c r="L66" i="5"/>
  <c r="O66" i="5" s="1"/>
  <c r="O68" i="5"/>
  <c r="O57" i="1"/>
  <c r="N250" i="1"/>
  <c r="L271" i="6"/>
  <c r="O271" i="6" s="1"/>
  <c r="O120" i="17"/>
  <c r="L118" i="17"/>
  <c r="O118" i="17" s="1"/>
  <c r="O312" i="8"/>
  <c r="L310" i="8"/>
  <c r="O310" i="8" s="1"/>
  <c r="L20" i="3"/>
  <c r="O20" i="3" s="1"/>
  <c r="N220" i="1"/>
  <c r="P20" i="18"/>
  <c r="L12" i="3"/>
  <c r="L10" i="3" s="1"/>
  <c r="L53" i="7"/>
  <c r="O53" i="7" s="1"/>
  <c r="O55" i="7"/>
  <c r="N8" i="15"/>
  <c r="N37" i="17"/>
  <c r="L94" i="11"/>
  <c r="O94" i="11" s="1"/>
  <c r="O96" i="11"/>
  <c r="L310" i="6"/>
  <c r="O310" i="6" s="1"/>
  <c r="O312" i="6"/>
  <c r="L28" i="11"/>
  <c r="O28" i="11" s="1"/>
  <c r="O292" i="15"/>
  <c r="L290" i="15"/>
  <c r="O290" i="15" s="1"/>
  <c r="O292" i="5"/>
  <c r="L290" i="5"/>
  <c r="O290" i="5" s="1"/>
  <c r="O53" i="4"/>
  <c r="O11" i="6"/>
  <c r="P53" i="4"/>
  <c r="O312" i="14"/>
  <c r="L310" i="14"/>
  <c r="O310" i="14" s="1"/>
  <c r="O120" i="4"/>
  <c r="L118" i="4"/>
  <c r="O96" i="9"/>
  <c r="L94" i="9"/>
  <c r="O94" i="9" s="1"/>
  <c r="O30" i="18"/>
  <c r="L28" i="18"/>
  <c r="O28" i="18" s="1"/>
  <c r="L118" i="12"/>
  <c r="O118" i="12" s="1"/>
  <c r="O120" i="12"/>
  <c r="O273" i="8"/>
  <c r="L271" i="8"/>
  <c r="O271" i="8" s="1"/>
  <c r="L13" i="1"/>
  <c r="O13" i="1" s="1"/>
  <c r="P142" i="1"/>
  <c r="O271" i="13"/>
  <c r="O142" i="5"/>
  <c r="L140" i="5"/>
  <c r="O140" i="5" s="1"/>
  <c r="L140" i="16"/>
  <c r="O140" i="16" s="1"/>
  <c r="O142" i="16"/>
  <c r="L290" i="17"/>
  <c r="O290" i="17" s="1"/>
  <c r="O292" i="17"/>
  <c r="O120" i="2"/>
  <c r="L118" i="2"/>
  <c r="O118" i="2" s="1"/>
  <c r="P118" i="5"/>
  <c r="P18" i="17"/>
  <c r="N8" i="11"/>
  <c r="O34" i="1"/>
  <c r="N37" i="2"/>
  <c r="O68" i="10"/>
  <c r="L66" i="10"/>
  <c r="O66" i="10" s="1"/>
  <c r="P271" i="13"/>
  <c r="M310" i="1"/>
  <c r="P310" i="1" s="1"/>
  <c r="N271" i="1"/>
  <c r="O329" i="3"/>
  <c r="L250" i="5"/>
  <c r="O250" i="5" s="1"/>
  <c r="O252" i="5"/>
  <c r="P96" i="8"/>
  <c r="M94" i="8"/>
  <c r="P94" i="8" s="1"/>
  <c r="L290" i="8"/>
  <c r="O290" i="8" s="1"/>
  <c r="O292" i="8"/>
  <c r="O312" i="18"/>
  <c r="L310" i="18"/>
  <c r="O310" i="18" s="1"/>
  <c r="O271" i="12"/>
  <c r="L28" i="17"/>
  <c r="O28" i="17" s="1"/>
  <c r="P120" i="1"/>
  <c r="O312" i="3"/>
  <c r="L310" i="3"/>
  <c r="O310" i="3" s="1"/>
  <c r="O120" i="9"/>
  <c r="L118" i="9"/>
  <c r="O118" i="9" s="1"/>
  <c r="L9" i="15"/>
  <c r="O9" i="15" s="1"/>
  <c r="O11" i="15"/>
  <c r="O120" i="11"/>
  <c r="L118" i="11"/>
  <c r="O118" i="11" s="1"/>
  <c r="O96" i="17"/>
  <c r="L94" i="17"/>
  <c r="O94" i="17" s="1"/>
  <c r="L310" i="4"/>
  <c r="O310" i="4" s="1"/>
  <c r="O312" i="4"/>
  <c r="P20" i="12"/>
  <c r="M18" i="12"/>
  <c r="P18" i="12" s="1"/>
  <c r="P20" i="10"/>
  <c r="M18" i="10"/>
  <c r="P18" i="10" s="1"/>
  <c r="P20" i="6"/>
  <c r="M18" i="6"/>
  <c r="P18" i="6" s="1"/>
  <c r="O55" i="9"/>
  <c r="L53" i="9"/>
  <c r="O53" i="9" s="1"/>
  <c r="L636" i="10"/>
  <c r="O636" i="10" s="1"/>
  <c r="O638" i="10"/>
  <c r="P12" i="18"/>
  <c r="L28" i="7"/>
  <c r="O28" i="7" s="1"/>
  <c r="O29" i="7"/>
  <c r="P20" i="14"/>
  <c r="M18" i="14"/>
  <c r="P18" i="14" s="1"/>
  <c r="L28" i="5"/>
  <c r="O28" i="5" s="1"/>
  <c r="O29" i="5"/>
  <c r="P140" i="3"/>
  <c r="L41" i="2"/>
  <c r="O43" i="2"/>
  <c r="O29" i="4"/>
  <c r="L28" i="4"/>
  <c r="O28" i="4" s="1"/>
  <c r="L41" i="7"/>
  <c r="O43" i="7"/>
  <c r="O120" i="3"/>
  <c r="L120" i="1"/>
  <c r="O120" i="1" s="1"/>
  <c r="L118" i="3"/>
  <c r="P9" i="9"/>
  <c r="O68" i="7"/>
  <c r="L66" i="7"/>
  <c r="O66" i="7" s="1"/>
  <c r="P12" i="8"/>
  <c r="O22" i="13"/>
  <c r="L12" i="13"/>
  <c r="L20" i="13"/>
  <c r="O9" i="13"/>
  <c r="P41" i="17"/>
  <c r="M37" i="17"/>
  <c r="P26" i="4"/>
  <c r="M16" i="4"/>
  <c r="P16" i="4" s="1"/>
  <c r="O30" i="15"/>
  <c r="L28" i="15"/>
  <c r="O28" i="15" s="1"/>
  <c r="P20" i="16"/>
  <c r="M18" i="16"/>
  <c r="P18" i="16" s="1"/>
  <c r="O11" i="8"/>
  <c r="L9" i="8"/>
  <c r="O222" i="17"/>
  <c r="L220" i="17"/>
  <c r="O220" i="17" s="1"/>
  <c r="L636" i="9"/>
  <c r="O636" i="9" s="1"/>
  <c r="O638" i="9"/>
  <c r="P41" i="16"/>
  <c r="N37" i="11"/>
  <c r="O41" i="11"/>
  <c r="L636" i="4"/>
  <c r="O636" i="4" s="1"/>
  <c r="O638" i="4"/>
  <c r="P331" i="4"/>
  <c r="M331" i="1"/>
  <c r="P331" i="1" s="1"/>
  <c r="M329" i="4"/>
  <c r="M37" i="4" s="1"/>
  <c r="P37" i="4" s="1"/>
  <c r="L43" i="1"/>
  <c r="L22" i="1"/>
  <c r="O45" i="1"/>
  <c r="L10" i="11"/>
  <c r="O10" i="11" s="1"/>
  <c r="O12" i="11"/>
  <c r="M43" i="1"/>
  <c r="P49" i="1"/>
  <c r="M26" i="1"/>
  <c r="M20" i="1" s="1"/>
  <c r="O9" i="14"/>
  <c r="P26" i="3"/>
  <c r="M16" i="3"/>
  <c r="P16" i="3" s="1"/>
  <c r="P20" i="11"/>
  <c r="M18" i="11"/>
  <c r="P18" i="11" s="1"/>
  <c r="P331" i="10"/>
  <c r="M329" i="10"/>
  <c r="P329" i="10" s="1"/>
  <c r="O22" i="17"/>
  <c r="L12" i="17"/>
  <c r="L20" i="17"/>
  <c r="O41" i="10"/>
  <c r="P41" i="9"/>
  <c r="O329" i="2"/>
  <c r="O9" i="18"/>
  <c r="P20" i="2"/>
  <c r="O11" i="4"/>
  <c r="L9" i="4"/>
  <c r="O68" i="9"/>
  <c r="L66" i="9"/>
  <c r="O66" i="9" s="1"/>
  <c r="L20" i="9"/>
  <c r="O22" i="9"/>
  <c r="L12" i="9"/>
  <c r="P271" i="7"/>
  <c r="M271" i="1"/>
  <c r="P41" i="11"/>
  <c r="M290" i="1"/>
  <c r="P290" i="1" s="1"/>
  <c r="O22" i="8"/>
  <c r="L12" i="8"/>
  <c r="L20" i="8"/>
  <c r="L68" i="1"/>
  <c r="O68" i="1" s="1"/>
  <c r="L636" i="2"/>
  <c r="O636" i="2" s="1"/>
  <c r="O638" i="2"/>
  <c r="M250" i="1"/>
  <c r="P250" i="2"/>
  <c r="P331" i="8"/>
  <c r="M329" i="8"/>
  <c r="O19" i="1"/>
  <c r="O22" i="15"/>
  <c r="L12" i="15"/>
  <c r="L20" i="15"/>
  <c r="O638" i="16"/>
  <c r="L636" i="16"/>
  <c r="O636" i="16" s="1"/>
  <c r="L10" i="12"/>
  <c r="O10" i="12" s="1"/>
  <c r="O12" i="12"/>
  <c r="M16" i="11"/>
  <c r="P16" i="11" s="1"/>
  <c r="P26" i="11"/>
  <c r="M37" i="7"/>
  <c r="P37" i="7" s="1"/>
  <c r="O68" i="17"/>
  <c r="L66" i="17"/>
  <c r="O66" i="17" s="1"/>
  <c r="O9" i="16"/>
  <c r="P26" i="9"/>
  <c r="M16" i="9"/>
  <c r="P16" i="9" s="1"/>
  <c r="P9" i="3"/>
  <c r="O118" i="5"/>
  <c r="O31" i="1"/>
  <c r="L29" i="1"/>
  <c r="O9" i="6"/>
  <c r="P312" i="1"/>
  <c r="P26" i="16"/>
  <c r="M16" i="16"/>
  <c r="P16" i="16" s="1"/>
  <c r="P41" i="12"/>
  <c r="P12" i="2"/>
  <c r="M10" i="2"/>
  <c r="P10" i="2" s="1"/>
  <c r="P9" i="10"/>
  <c r="P26" i="12"/>
  <c r="M16" i="12"/>
  <c r="P16" i="12" s="1"/>
  <c r="P20" i="8"/>
  <c r="M18" i="8"/>
  <c r="P18" i="8" s="1"/>
  <c r="P12" i="12"/>
  <c r="O43" i="13"/>
  <c r="L41" i="13"/>
  <c r="N20" i="1"/>
  <c r="N18" i="1" s="1"/>
  <c r="N12" i="1"/>
  <c r="N10" i="1" s="1"/>
  <c r="O43" i="8"/>
  <c r="L41" i="8"/>
  <c r="O55" i="1"/>
  <c r="L53" i="1"/>
  <c r="O53" i="1" s="1"/>
  <c r="L636" i="18"/>
  <c r="O636" i="18" s="1"/>
  <c r="O638" i="18"/>
  <c r="L9" i="1"/>
  <c r="O11" i="1"/>
  <c r="O11" i="10"/>
  <c r="L9" i="10"/>
  <c r="O140" i="9"/>
  <c r="P41" i="14"/>
  <c r="O222" i="15"/>
  <c r="L220" i="15"/>
  <c r="O220" i="15" s="1"/>
  <c r="O638" i="14"/>
  <c r="L636" i="14"/>
  <c r="O636" i="14" s="1"/>
  <c r="L20" i="18"/>
  <c r="O22" i="18"/>
  <c r="L12" i="18"/>
  <c r="M18" i="18"/>
  <c r="P18" i="18" s="1"/>
  <c r="M10" i="17"/>
  <c r="P12" i="17"/>
  <c r="P329" i="3"/>
  <c r="P331" i="11"/>
  <c r="M329" i="11"/>
  <c r="P329" i="11" s="1"/>
  <c r="P41" i="7"/>
  <c r="O68" i="11"/>
  <c r="L66" i="11"/>
  <c r="O66" i="11" s="1"/>
  <c r="O55" i="16"/>
  <c r="L53" i="16"/>
  <c r="O53" i="16" s="1"/>
  <c r="P12" i="16"/>
  <c r="P9" i="18"/>
  <c r="M37" i="18"/>
  <c r="P331" i="9"/>
  <c r="M329" i="9"/>
  <c r="P329" i="9" s="1"/>
  <c r="O11" i="2"/>
  <c r="L9" i="2"/>
  <c r="M20" i="3"/>
  <c r="L292" i="1"/>
  <c r="O292" i="1" s="1"/>
  <c r="O292" i="2"/>
  <c r="L290" i="2"/>
  <c r="M220" i="1"/>
  <c r="P12" i="7"/>
  <c r="N37" i="9"/>
  <c r="P12" i="13"/>
  <c r="P9" i="6"/>
  <c r="O11" i="12"/>
  <c r="L9" i="12"/>
  <c r="P26" i="10"/>
  <c r="M16" i="10"/>
  <c r="P16" i="10" s="1"/>
  <c r="P12" i="5"/>
  <c r="P66" i="2"/>
  <c r="M37" i="2"/>
  <c r="P26" i="6"/>
  <c r="M16" i="6"/>
  <c r="P16" i="6" s="1"/>
  <c r="O142" i="2"/>
  <c r="L142" i="1"/>
  <c r="O142" i="1" s="1"/>
  <c r="L140" i="2"/>
  <c r="M16" i="15"/>
  <c r="P16" i="15" s="1"/>
  <c r="P26" i="15"/>
  <c r="O53" i="11"/>
  <c r="O638" i="13"/>
  <c r="L636" i="13"/>
  <c r="O636" i="13" s="1"/>
  <c r="P22" i="1"/>
  <c r="M12" i="1"/>
  <c r="P12" i="4"/>
  <c r="O638" i="15"/>
  <c r="L636" i="15"/>
  <c r="O636" i="15" s="1"/>
  <c r="O638" i="7"/>
  <c r="L636" i="7"/>
  <c r="O636" i="7" s="1"/>
  <c r="P12" i="11"/>
  <c r="O41" i="12"/>
  <c r="P12" i="15"/>
  <c r="O640" i="1"/>
  <c r="L638" i="1"/>
  <c r="O638" i="5"/>
  <c r="L636" i="5"/>
  <c r="O636" i="5" s="1"/>
  <c r="O41" i="6"/>
  <c r="O312" i="2"/>
  <c r="L310" i="2"/>
  <c r="L312" i="1"/>
  <c r="O312" i="1" s="1"/>
  <c r="O220" i="6"/>
  <c r="P220" i="6"/>
  <c r="P9" i="5"/>
  <c r="N8" i="3"/>
  <c r="O24" i="1"/>
  <c r="L14" i="1"/>
  <c r="O14" i="1" s="1"/>
  <c r="O12" i="6"/>
  <c r="L10" i="6"/>
  <c r="O10" i="6" s="1"/>
  <c r="L28" i="10"/>
  <c r="O28" i="10" s="1"/>
  <c r="O29" i="10"/>
  <c r="O638" i="8"/>
  <c r="L636" i="8"/>
  <c r="O636" i="8" s="1"/>
  <c r="P12" i="10"/>
  <c r="O29" i="13"/>
  <c r="L28" i="13"/>
  <c r="O28" i="13" s="1"/>
  <c r="O43" i="18"/>
  <c r="L41" i="18"/>
  <c r="P12" i="14"/>
  <c r="P20" i="17"/>
  <c r="M18" i="2"/>
  <c r="P18" i="2" s="1"/>
  <c r="N8" i="2"/>
  <c r="O30" i="14"/>
  <c r="L28" i="14"/>
  <c r="O28" i="14" s="1"/>
  <c r="O22" i="16"/>
  <c r="L12" i="16"/>
  <c r="L20" i="16"/>
  <c r="M16" i="18"/>
  <c r="P16" i="18" s="1"/>
  <c r="P26" i="18"/>
  <c r="L222" i="1"/>
  <c r="O222" i="1" s="1"/>
  <c r="O222" i="2"/>
  <c r="L220" i="2"/>
  <c r="O252" i="7"/>
  <c r="L250" i="7"/>
  <c r="O250" i="7" s="1"/>
  <c r="O29" i="2"/>
  <c r="L28" i="2"/>
  <c r="O28" i="2" s="1"/>
  <c r="P12" i="3"/>
  <c r="P9" i="2"/>
  <c r="O20" i="10"/>
  <c r="L18" i="10"/>
  <c r="O18" i="10" s="1"/>
  <c r="N140" i="1"/>
  <c r="M16" i="13"/>
  <c r="P16" i="13" s="1"/>
  <c r="P26" i="13"/>
  <c r="P68" i="16"/>
  <c r="M66" i="16"/>
  <c r="P66" i="16" s="1"/>
  <c r="O222" i="16"/>
  <c r="L220" i="16"/>
  <c r="O220" i="16" s="1"/>
  <c r="P9" i="4"/>
  <c r="L9" i="9"/>
  <c r="O11" i="9"/>
  <c r="P55" i="1"/>
  <c r="M53" i="1"/>
  <c r="P53" i="1" s="1"/>
  <c r="P20" i="4"/>
  <c r="M18" i="4"/>
  <c r="P18" i="4" s="1"/>
  <c r="P9" i="1"/>
  <c r="O29" i="9"/>
  <c r="L28" i="9"/>
  <c r="O28" i="9" s="1"/>
  <c r="L96" i="1"/>
  <c r="O96" i="1" s="1"/>
  <c r="O96" i="3"/>
  <c r="L94" i="3"/>
  <c r="P331" i="5"/>
  <c r="M329" i="5"/>
  <c r="P331" i="13"/>
  <c r="M329" i="13"/>
  <c r="P329" i="13" s="1"/>
  <c r="O32" i="1"/>
  <c r="L30" i="1"/>
  <c r="O30" i="1" s="1"/>
  <c r="O41" i="5"/>
  <c r="L20" i="7"/>
  <c r="O22" i="7"/>
  <c r="L12" i="7"/>
  <c r="M20" i="13"/>
  <c r="P26" i="14"/>
  <c r="M16" i="14"/>
  <c r="P16" i="14" s="1"/>
  <c r="M20" i="15"/>
  <c r="P26" i="5"/>
  <c r="M16" i="5"/>
  <c r="P16" i="5" s="1"/>
  <c r="P12" i="6"/>
  <c r="O29" i="12"/>
  <c r="L28" i="12"/>
  <c r="O28" i="12" s="1"/>
  <c r="P68" i="10"/>
  <c r="M66" i="10"/>
  <c r="M20" i="5"/>
  <c r="M68" i="1"/>
  <c r="P68" i="1" s="1"/>
  <c r="P118" i="3"/>
  <c r="M118" i="1"/>
  <c r="O11" i="7"/>
  <c r="L9" i="7"/>
  <c r="O331" i="13"/>
  <c r="L329" i="13"/>
  <c r="O329" i="13" s="1"/>
  <c r="P9" i="12"/>
  <c r="P41" i="13"/>
  <c r="O41" i="16"/>
  <c r="P9" i="16"/>
  <c r="O55" i="17"/>
  <c r="L53" i="17"/>
  <c r="P12" i="9"/>
  <c r="O11" i="5"/>
  <c r="L9" i="5"/>
  <c r="M18" i="9"/>
  <c r="P18" i="9" s="1"/>
  <c r="P26" i="8"/>
  <c r="M16" i="8"/>
  <c r="P16" i="8" s="1"/>
  <c r="O41" i="15"/>
  <c r="O29" i="16"/>
  <c r="L28" i="16"/>
  <c r="O28" i="16" s="1"/>
  <c r="O29" i="8"/>
  <c r="L28" i="8"/>
  <c r="O28" i="8" s="1"/>
  <c r="O9" i="11"/>
  <c r="P142" i="15"/>
  <c r="M140" i="15"/>
  <c r="P140" i="15" s="1"/>
  <c r="L252" i="1"/>
  <c r="O252" i="1" s="1"/>
  <c r="L271" i="3"/>
  <c r="O273" i="3"/>
  <c r="L273" i="1"/>
  <c r="O273" i="1" s="1"/>
  <c r="P94" i="3"/>
  <c r="P9" i="15"/>
  <c r="O22" i="2"/>
  <c r="L12" i="2"/>
  <c r="L20" i="2"/>
  <c r="P68" i="12"/>
  <c r="M66" i="12"/>
  <c r="P66" i="12" s="1"/>
  <c r="P271" i="12"/>
  <c r="P20" i="7"/>
  <c r="M18" i="7"/>
  <c r="P18" i="7" s="1"/>
  <c r="N37" i="5"/>
  <c r="M37" i="3"/>
  <c r="L18" i="6" l="1"/>
  <c r="O18" i="6" s="1"/>
  <c r="P118" i="1"/>
  <c r="L10" i="4"/>
  <c r="O10" i="4" s="1"/>
  <c r="O20" i="11"/>
  <c r="M37" i="14"/>
  <c r="P37" i="14" s="1"/>
  <c r="O20" i="12"/>
  <c r="L10" i="14"/>
  <c r="O10" i="14" s="1"/>
  <c r="O20" i="5"/>
  <c r="M10" i="7"/>
  <c r="P10" i="7" s="1"/>
  <c r="L10" i="5"/>
  <c r="O10" i="5" s="1"/>
  <c r="P37" i="2"/>
  <c r="M37" i="6"/>
  <c r="P37" i="6" s="1"/>
  <c r="L10" i="10"/>
  <c r="O10" i="10" s="1"/>
  <c r="N8" i="1"/>
  <c r="P250" i="1"/>
  <c r="L18" i="3"/>
  <c r="O18" i="3" s="1"/>
  <c r="P37" i="3"/>
  <c r="L37" i="14"/>
  <c r="O37" i="14" s="1"/>
  <c r="M10" i="4"/>
  <c r="P10" i="4" s="1"/>
  <c r="L37" i="11"/>
  <c r="O37" i="11" s="1"/>
  <c r="P37" i="18"/>
  <c r="O20" i="4"/>
  <c r="O12" i="3"/>
  <c r="L37" i="12"/>
  <c r="O37" i="12" s="1"/>
  <c r="O10" i="3"/>
  <c r="L8" i="3"/>
  <c r="O8" i="3" s="1"/>
  <c r="L37" i="5"/>
  <c r="O37" i="5" s="1"/>
  <c r="M10" i="11"/>
  <c r="M8" i="11" s="1"/>
  <c r="P8" i="11" s="1"/>
  <c r="P220" i="1"/>
  <c r="L37" i="10"/>
  <c r="O37" i="10" s="1"/>
  <c r="P37" i="17"/>
  <c r="L37" i="6"/>
  <c r="O37" i="6" s="1"/>
  <c r="M94" i="1"/>
  <c r="P94" i="1" s="1"/>
  <c r="N37" i="1"/>
  <c r="P271" i="1"/>
  <c r="M10" i="13"/>
  <c r="M8" i="13" s="1"/>
  <c r="P8" i="13" s="1"/>
  <c r="M10" i="12"/>
  <c r="P10" i="12" s="1"/>
  <c r="M10" i="6"/>
  <c r="P10" i="6" s="1"/>
  <c r="M66" i="1"/>
  <c r="P66" i="1" s="1"/>
  <c r="L37" i="15"/>
  <c r="O37" i="15" s="1"/>
  <c r="M10" i="9"/>
  <c r="P10" i="9" s="1"/>
  <c r="L8" i="11"/>
  <c r="O8" i="11" s="1"/>
  <c r="M10" i="10"/>
  <c r="P10" i="10" s="1"/>
  <c r="M10" i="16"/>
  <c r="P10" i="16" s="1"/>
  <c r="L250" i="1"/>
  <c r="O250" i="1" s="1"/>
  <c r="L37" i="16"/>
  <c r="O37" i="16" s="1"/>
  <c r="M8" i="2"/>
  <c r="P8" i="2" s="1"/>
  <c r="M140" i="1"/>
  <c r="P140" i="1" s="1"/>
  <c r="O118" i="4"/>
  <c r="L37" i="4"/>
  <c r="O37" i="4" s="1"/>
  <c r="M10" i="3"/>
  <c r="L290" i="1"/>
  <c r="O290" i="1" s="1"/>
  <c r="O290" i="2"/>
  <c r="O43" i="1"/>
  <c r="L41" i="1"/>
  <c r="P20" i="15"/>
  <c r="M18" i="15"/>
  <c r="P18" i="15" s="1"/>
  <c r="O12" i="18"/>
  <c r="L10" i="18"/>
  <c r="P329" i="4"/>
  <c r="M329" i="1"/>
  <c r="P329" i="1" s="1"/>
  <c r="M37" i="13"/>
  <c r="P37" i="13" s="1"/>
  <c r="O9" i="7"/>
  <c r="L220" i="1"/>
  <c r="O220" i="1" s="1"/>
  <c r="O220" i="2"/>
  <c r="L10" i="16"/>
  <c r="O12" i="16"/>
  <c r="O41" i="18"/>
  <c r="L37" i="18"/>
  <c r="O37" i="18" s="1"/>
  <c r="P12" i="1"/>
  <c r="M10" i="5"/>
  <c r="P20" i="3"/>
  <c r="M18" i="3"/>
  <c r="P18" i="3" s="1"/>
  <c r="O20" i="18"/>
  <c r="L18" i="18"/>
  <c r="O18" i="18" s="1"/>
  <c r="L28" i="1"/>
  <c r="O28" i="1" s="1"/>
  <c r="O29" i="1"/>
  <c r="O20" i="15"/>
  <c r="L18" i="15"/>
  <c r="O18" i="15" s="1"/>
  <c r="M37" i="16"/>
  <c r="P37" i="16" s="1"/>
  <c r="O118" i="3"/>
  <c r="L118" i="1"/>
  <c r="O118" i="1" s="1"/>
  <c r="O638" i="1"/>
  <c r="L636" i="1"/>
  <c r="O636" i="1" s="1"/>
  <c r="O20" i="7"/>
  <c r="L18" i="7"/>
  <c r="O18" i="7" s="1"/>
  <c r="M37" i="9"/>
  <c r="P37" i="9" s="1"/>
  <c r="P43" i="1"/>
  <c r="M41" i="1"/>
  <c r="O20" i="2"/>
  <c r="L18" i="2"/>
  <c r="O18" i="2" s="1"/>
  <c r="O9" i="5"/>
  <c r="P20" i="5"/>
  <c r="M18" i="5"/>
  <c r="P18" i="5" s="1"/>
  <c r="P20" i="13"/>
  <c r="M18" i="13"/>
  <c r="P18" i="13" s="1"/>
  <c r="O94" i="3"/>
  <c r="L94" i="1"/>
  <c r="O94" i="1" s="1"/>
  <c r="M37" i="15"/>
  <c r="P37" i="15" s="1"/>
  <c r="O9" i="2"/>
  <c r="M37" i="12"/>
  <c r="P37" i="12" s="1"/>
  <c r="O12" i="15"/>
  <c r="L10" i="15"/>
  <c r="L37" i="3"/>
  <c r="O37" i="3" s="1"/>
  <c r="O20" i="8"/>
  <c r="L18" i="8"/>
  <c r="O18" i="8" s="1"/>
  <c r="L329" i="1"/>
  <c r="O329" i="1" s="1"/>
  <c r="O20" i="17"/>
  <c r="L18" i="17"/>
  <c r="O18" i="17" s="1"/>
  <c r="O20" i="13"/>
  <c r="L18" i="13"/>
  <c r="O18" i="13" s="1"/>
  <c r="O310" i="2"/>
  <c r="L310" i="1"/>
  <c r="O310" i="1" s="1"/>
  <c r="L140" i="1"/>
  <c r="O140" i="1" s="1"/>
  <c r="O140" i="2"/>
  <c r="O9" i="12"/>
  <c r="L8" i="12"/>
  <c r="O8" i="12" s="1"/>
  <c r="O12" i="2"/>
  <c r="L10" i="2"/>
  <c r="O10" i="2" s="1"/>
  <c r="P66" i="10"/>
  <c r="M37" i="10"/>
  <c r="P37" i="10" s="1"/>
  <c r="L10" i="7"/>
  <c r="O10" i="7" s="1"/>
  <c r="O12" i="7"/>
  <c r="O9" i="9"/>
  <c r="P10" i="17"/>
  <c r="M8" i="17"/>
  <c r="P8" i="17" s="1"/>
  <c r="O9" i="10"/>
  <c r="L8" i="6"/>
  <c r="O8" i="6" s="1"/>
  <c r="L10" i="8"/>
  <c r="O10" i="8" s="1"/>
  <c r="O12" i="8"/>
  <c r="O9" i="4"/>
  <c r="O12" i="17"/>
  <c r="L10" i="17"/>
  <c r="P26" i="1"/>
  <c r="M16" i="1"/>
  <c r="P16" i="1" s="1"/>
  <c r="L20" i="1"/>
  <c r="O22" i="1"/>
  <c r="L12" i="1"/>
  <c r="L10" i="13"/>
  <c r="O12" i="13"/>
  <c r="L37" i="2"/>
  <c r="O37" i="2" s="1"/>
  <c r="O41" i="2"/>
  <c r="M10" i="8"/>
  <c r="L66" i="1"/>
  <c r="O66" i="1" s="1"/>
  <c r="O41" i="7"/>
  <c r="L37" i="7"/>
  <c r="O37" i="7" s="1"/>
  <c r="O12" i="9"/>
  <c r="L10" i="9"/>
  <c r="O10" i="9" s="1"/>
  <c r="O271" i="3"/>
  <c r="L271" i="1"/>
  <c r="O271" i="1" s="1"/>
  <c r="L37" i="9"/>
  <c r="O37" i="9" s="1"/>
  <c r="L37" i="8"/>
  <c r="O37" i="8" s="1"/>
  <c r="O41" i="8"/>
  <c r="O53" i="17"/>
  <c r="L37" i="17"/>
  <c r="O37" i="17" s="1"/>
  <c r="P329" i="5"/>
  <c r="M37" i="5"/>
  <c r="P37" i="5" s="1"/>
  <c r="O20" i="16"/>
  <c r="L18" i="16"/>
  <c r="O18" i="16" s="1"/>
  <c r="M10" i="14"/>
  <c r="M10" i="15"/>
  <c r="P20" i="1"/>
  <c r="M18" i="1"/>
  <c r="P18" i="1" s="1"/>
  <c r="O9" i="1"/>
  <c r="L37" i="13"/>
  <c r="O37" i="13" s="1"/>
  <c r="O41" i="13"/>
  <c r="P329" i="8"/>
  <c r="M37" i="8"/>
  <c r="P37" i="8" s="1"/>
  <c r="M37" i="11"/>
  <c r="P37" i="11" s="1"/>
  <c r="O20" i="9"/>
  <c r="L18" i="9"/>
  <c r="O18" i="9" s="1"/>
  <c r="O9" i="8"/>
  <c r="M10" i="18"/>
  <c r="L8" i="4" l="1"/>
  <c r="O8" i="4" s="1"/>
  <c r="L8" i="14"/>
  <c r="O8" i="14" s="1"/>
  <c r="M8" i="7"/>
  <c r="P8" i="7" s="1"/>
  <c r="L8" i="10"/>
  <c r="O8" i="10" s="1"/>
  <c r="L8" i="5"/>
  <c r="O8" i="5" s="1"/>
  <c r="P10" i="11"/>
  <c r="P10" i="13"/>
  <c r="M8" i="4"/>
  <c r="P8" i="4" s="1"/>
  <c r="M8" i="16"/>
  <c r="P8" i="16" s="1"/>
  <c r="M8" i="6"/>
  <c r="P8" i="6" s="1"/>
  <c r="M8" i="10"/>
  <c r="P8" i="10" s="1"/>
  <c r="M8" i="12"/>
  <c r="P8" i="12" s="1"/>
  <c r="L8" i="9"/>
  <c r="O8" i="9" s="1"/>
  <c r="M8" i="9"/>
  <c r="P8" i="9" s="1"/>
  <c r="L8" i="7"/>
  <c r="O8" i="7" s="1"/>
  <c r="L8" i="8"/>
  <c r="O8" i="8" s="1"/>
  <c r="P10" i="3"/>
  <c r="M8" i="3"/>
  <c r="P8" i="3" s="1"/>
  <c r="O12" i="1"/>
  <c r="L10" i="1"/>
  <c r="O20" i="1"/>
  <c r="L18" i="1"/>
  <c r="O18" i="1" s="1"/>
  <c r="P10" i="5"/>
  <c r="M8" i="5"/>
  <c r="P8" i="5" s="1"/>
  <c r="O10" i="16"/>
  <c r="L8" i="16"/>
  <c r="O8" i="16" s="1"/>
  <c r="P10" i="14"/>
  <c r="M8" i="14"/>
  <c r="P8" i="14" s="1"/>
  <c r="P10" i="18"/>
  <c r="M8" i="18"/>
  <c r="P8" i="18" s="1"/>
  <c r="P41" i="1"/>
  <c r="M37" i="1"/>
  <c r="P37" i="1" s="1"/>
  <c r="M10" i="1"/>
  <c r="P10" i="8"/>
  <c r="M8" i="8"/>
  <c r="P8" i="8" s="1"/>
  <c r="P10" i="15"/>
  <c r="M8" i="15"/>
  <c r="P8" i="15" s="1"/>
  <c r="O10" i="15"/>
  <c r="L8" i="15"/>
  <c r="O8" i="15" s="1"/>
  <c r="O10" i="18"/>
  <c r="L8" i="18"/>
  <c r="O8" i="18" s="1"/>
  <c r="O41" i="1"/>
  <c r="L37" i="1"/>
  <c r="O37" i="1" s="1"/>
  <c r="O10" i="13"/>
  <c r="L8" i="13"/>
  <c r="O8" i="13" s="1"/>
  <c r="O10" i="17"/>
  <c r="L8" i="17"/>
  <c r="O8" i="17" s="1"/>
  <c r="L8" i="2"/>
  <c r="O8" i="2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<sst xmlns="http://schemas.openxmlformats.org/spreadsheetml/2006/main" count="23688" uniqueCount="295">
  <si>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</si>
  <si>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</si>
  <si>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</si>
  <si>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</si>
  <si>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</si>
  <si>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</si>
  <si>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</si>
  <si>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</si>
  <si>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</si>
  <si>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</si>
  <si>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</si>
  <si>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</si>
  <si>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</si>
  <si>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</si>
  <si>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</si>
  <si>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</si>
  <si>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</si>
  <si>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</si>
  <si>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</si>
  <si>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</si>
  <si>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</si>
  <si>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</si>
  <si>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</si>
  <si>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</si>
  <si>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</si>
  <si>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</si>
  <si>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</si>
  <si>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</si>
  <si>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</si>
  <si>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</si>
  <si>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</si>
  <si>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</si>
  <si>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</si>
  <si>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</si>
  <si>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</si>
  <si>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</si>
  <si>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</si>
  <si>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</si>
  <si>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</si>
  <si>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</si>
  <si>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</si>
  <si>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</si>
  <si>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</si>
  <si>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</si>
  <si>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</si>
  <si>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</si>
  <si>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</si>
  <si>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</si>
  <si>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</si>
  <si>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</si>
  <si>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</si>
  <si>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</si>
  <si>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</si>
  <si>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</si>
  <si>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</si>
  <si>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</si>
  <si>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</si>
  <si>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</si>
  <si>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</si>
  <si>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</si>
  <si>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</si>
  <si>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</si>
  <si>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</si>
  <si>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</si>
  <si>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</si>
  <si>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</si>
  <si>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</si>
  <si>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</si>
  <si>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</si>
  <si>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</si>
  <si>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</si>
  <si>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</si>
  <si>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</si>
  <si>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</si>
  <si>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</si>
  <si>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</si>
  <si>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</si>
  <si>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</si>
  <si>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</si>
  <si>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</si>
  <si>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</si>
  <si>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</si>
  <si>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</si>
  <si>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</si>
  <si>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</si>
  <si>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</si>
  <si>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</si>
  <si>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</si>
  <si>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</si>
  <si>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</si>
  <si>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</si>
  <si>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</si>
  <si>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</si>
  <si>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</si>
  <si>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</si>
  <si>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</si>
  <si>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</si>
  <si>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</si>
  <si>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</si>
  <si>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</si>
  <si>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</si>
  <si>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</si>
  <si>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</si>
  <si>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</si>
  <si>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</si>
  <si>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</si>
  <si>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</si>
  <si>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</si>
  <si>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</si>
  <si>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</si>
  <si>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</si>
  <si>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</si>
  <si>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</si>
  <si>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</si>
  <si>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</si>
  <si>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</si>
  <si>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</si>
  <si>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</si>
  <si>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</si>
  <si>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</si>
  <si>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</si>
  <si>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</si>
  <si>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</si>
  <si>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</si>
  <si>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</si>
  <si>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</si>
  <si>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</si>
  <si>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</si>
  <si>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</si>
  <si>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</si>
  <si>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</si>
  <si>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</si>
  <si>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</si>
  <si>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</si>
  <si>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</si>
  <si>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</si>
  <si>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</si>
  <si>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</si>
  <si>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</si>
  <si>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</si>
  <si>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</si>
  <si>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</si>
  <si>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</si>
  <si>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</si>
  <si>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</si>
  <si>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</si>
  <si>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</si>
  <si>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</si>
  <si>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</si>
  <si>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</si>
  <si>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</si>
  <si>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</si>
  <si>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</si>
  <si>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</si>
  <si>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</si>
  <si>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</si>
  <si>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</si>
  <si>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</si>
  <si>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</si>
  <si>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</si>
  <si>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</si>
  <si>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</si>
  <si>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</si>
  <si>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</si>
  <si>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</si>
  <si>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</si>
  <si>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</si>
  <si>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</si>
  <si>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</si>
  <si>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</si>
  <si>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</si>
  <si>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</si>
  <si>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</si>
  <si>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</si>
  <si>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</si>
  <si>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</si>
  <si>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</si>
  <si>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</si>
  <si>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</si>
  <si>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</si>
  <si>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</si>
  <si>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</si>
  <si>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</si>
  <si>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</si>
  <si>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</si>
  <si>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</si>
  <si>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</si>
  <si>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</si>
  <si>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</si>
  <si>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</si>
  <si>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</si>
  <si>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</si>
  <si>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</si>
  <si>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</si>
  <si>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</si>
  <si>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</si>
  <si>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</si>
  <si>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</si>
  <si>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</si>
  <si>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</si>
  <si>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</si>
  <si>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</si>
  <si>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</si>
  <si>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</si>
  <si>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</si>
  <si>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</si>
  <si>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</si>
  <si>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</si>
  <si>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</si>
  <si>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</si>
  <si>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</si>
  <si>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</si>
  <si>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</si>
  <si>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</si>
  <si>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</si>
  <si>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</si>
  <si>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</si>
  <si>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</si>
  <si>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</si>
  <si>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</si>
  <si>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</si>
  <si>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</si>
  <si>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</si>
  <si>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</si>
  <si>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</si>
  <si>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</si>
  <si>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</si>
  <si>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</si>
  <si>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</si>
  <si>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</si>
  <si>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</si>
  <si>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</si>
  <si>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</si>
  <si>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</si>
  <si>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</si>
  <si>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</si>
  <si>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</si>
  <si>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</si>
  <si>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</si>
  <si>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</si>
  <si>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</si>
  <si>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</si>
  <si>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</si>
  <si>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</si>
  <si>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</si>
  <si>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</si>
  <si>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</si>
  <si>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</si>
  <si>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</si>
  <si>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</si>
  <si>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</si>
  <si>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</si>
  <si>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</si>
  <si>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</si>
  <si>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</si>
  <si>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</si>
  <si>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</si>
  <si>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</si>
  <si>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</si>
  <si>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</si>
  <si>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</si>
  <si>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</si>
  <si>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</si>
  <si>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</si>
  <si>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</si>
  <si>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</si>
  <si>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</si>
  <si>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</si>
  <si>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</si>
  <si>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</si>
  <si>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</si>
  <si>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</si>
  <si>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</si>
  <si>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</si>
  <si>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</si>
  <si>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</si>
  <si>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</si>
  <si>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</si>
  <si>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</si>
  <si>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</si>
  <si>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</si>
  <si>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</si>
  <si>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</si>
  <si>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</si>
  <si>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</si>
  <si>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</si>
  <si>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</si>
  <si>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</si>
  <si>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</si>
  <si>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</si>
  <si>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</si>
  <si>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</si>
  <si>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</si>
  <si>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</si>
  <si>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กรกฎาคม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</si>
</sst>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sqref="A1:P1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9.140625" customWidth="1"/>
    <col min="8" max="8" width="10.85546875" customWidth="1"/>
    <col min="9" max="9" width="17.7109375" bestFit="1" customWidth="1"/>
    <col min="10" max="10" width="15.85546875" customWidth="1"/>
    <col min="11" max="11" width="10.85546875" bestFit="1" customWidth="1"/>
    <col min="12" max="12" width="21.1406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1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121637163</v>
      </c>
      <c r="M8" s="23">
        <f t="shared" ca="1" si="0"/>
        <v>82634432.74000001</v>
      </c>
      <c r="N8" s="23">
        <f t="shared" ca="1" si="0"/>
        <v>89781936.579999998</v>
      </c>
      <c r="O8" s="22">
        <f t="shared" ref="O8:O16" ca="1" si="1">IF(L8&gt;0,N8*100/L8,0)</f>
        <v>73.811271461502272</v>
      </c>
      <c r="P8" s="22">
        <f t="shared" ref="P8:P16" ca="1" si="2">IF(M8&gt;0,N8*100/M8,0)</f>
        <v>108.64954668774554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121637163</v>
      </c>
      <c r="M10" s="30">
        <f t="shared" ca="1" si="4"/>
        <v>82634432.74000001</v>
      </c>
      <c r="N10" s="30">
        <f t="shared" ca="1" si="4"/>
        <v>89781936.579999998</v>
      </c>
      <c r="O10" s="29">
        <f t="shared" ca="1" si="1"/>
        <v>73.811271461502272</v>
      </c>
      <c r="P10" s="29">
        <f t="shared" ca="1" si="2"/>
        <v>108.64954668774554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99891988</v>
      </c>
      <c r="M12" s="39">
        <f t="shared" ca="1" si="6"/>
        <v>61192307.740000002</v>
      </c>
      <c r="N12" s="39">
        <f t="shared" ca="1" si="6"/>
        <v>69189016.019999996</v>
      </c>
      <c r="O12" s="39">
        <f t="shared" ca="1" si="1"/>
        <v>69.263829267268164</v>
      </c>
      <c r="P12" s="39">
        <f t="shared" ca="1" si="2"/>
        <v>113.06815934116624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35134700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64757288</v>
      </c>
      <c r="M14" s="39">
        <f t="shared" si="8"/>
        <v>0</v>
      </c>
      <c r="N14" s="39">
        <f t="shared" ca="1" si="8"/>
        <v>21120097.669999994</v>
      </c>
      <c r="O14" s="39">
        <f t="shared" ca="1" si="1"/>
        <v>32.614240531505885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21745175</v>
      </c>
      <c r="M16" s="39">
        <f t="shared" ca="1" si="10"/>
        <v>21442125</v>
      </c>
      <c r="N16" s="39">
        <f t="shared" ca="1" si="10"/>
        <v>20592920.560000002</v>
      </c>
      <c r="O16" s="50">
        <f t="shared" ca="1" si="1"/>
        <v>94.701102934329114</v>
      </c>
      <c r="P16" s="50">
        <f t="shared" ca="1" si="2"/>
        <v>96.039550930703001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81370279</v>
      </c>
      <c r="M18" s="23">
        <f t="shared" ca="1" si="11"/>
        <v>82634432.74000001</v>
      </c>
      <c r="N18" s="23">
        <f t="shared" ca="1" si="11"/>
        <v>68661838.909999996</v>
      </c>
      <c r="O18" s="22">
        <f t="shared" ref="O18:O26" ca="1" si="12">IF(L18&gt;0,N18*100/L18,0)</f>
        <v>84.381963235003781</v>
      </c>
      <c r="P18" s="22">
        <f t="shared" ref="P18:P26" ca="1" si="13">IF(M18&gt;0,N18*100/M18,0)</f>
        <v>83.091075515743896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81370279</v>
      </c>
      <c r="M20" s="30">
        <f t="shared" ca="1" si="15"/>
        <v>82634432.74000001</v>
      </c>
      <c r="N20" s="30">
        <f t="shared" ca="1" si="15"/>
        <v>68661838.909999996</v>
      </c>
      <c r="O20" s="29">
        <f t="shared" ca="1" si="12"/>
        <v>84.381963235003781</v>
      </c>
      <c r="P20" s="29">
        <f t="shared" ca="1" si="13"/>
        <v>83.091075515743896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59625104</v>
      </c>
      <c r="M22" s="42">
        <f t="shared" ca="1" si="17"/>
        <v>61192307.740000002</v>
      </c>
      <c r="N22" s="39">
        <f t="shared" ca="1" si="17"/>
        <v>48068918.350000001</v>
      </c>
      <c r="O22" s="39">
        <f t="shared" ca="1" si="12"/>
        <v>80.618590367574029</v>
      </c>
      <c r="P22" s="39">
        <f t="shared" ca="1" si="13"/>
        <v>78.553857707475302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35134700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24490404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21745175</v>
      </c>
      <c r="M26" s="50">
        <f t="shared" ca="1" si="21"/>
        <v>21442125</v>
      </c>
      <c r="N26" s="50">
        <f t="shared" ca="1" si="21"/>
        <v>20592920.560000002</v>
      </c>
      <c r="O26" s="50">
        <f t="shared" ca="1" si="12"/>
        <v>94.701102934329114</v>
      </c>
      <c r="P26" s="50">
        <f t="shared" ca="1" si="13"/>
        <v>96.039550930703001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2">L29+L30</f>
        <v>40266884</v>
      </c>
      <c r="M28" s="23">
        <f t="shared" si="22"/>
        <v>0</v>
      </c>
      <c r="N28" s="23">
        <f t="shared" ca="1" si="22"/>
        <v>21120097.669999994</v>
      </c>
      <c r="O28" s="22">
        <f t="shared" ref="O28:O30" ca="1" si="23">IF(L28&gt;0,N28*100/L28,0)</f>
        <v>52.450290591146796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40266884</v>
      </c>
      <c r="M30" s="30">
        <f t="shared" si="26"/>
        <v>0</v>
      </c>
      <c r="N30" s="30">
        <f t="shared" ca="1" si="26"/>
        <v>21120097.669999994</v>
      </c>
      <c r="O30" s="29">
        <f t="shared" ca="1" si="23"/>
        <v>52.450290591146796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40266884</v>
      </c>
      <c r="M32" s="39">
        <f t="shared" si="29"/>
        <v>0</v>
      </c>
      <c r="N32" s="39">
        <f t="shared" ca="1" si="29"/>
        <v>21120097.669999994</v>
      </c>
      <c r="O32" s="39">
        <f t="shared" ca="1" si="28"/>
        <v>52.450290591146796</v>
      </c>
      <c r="P32" s="39">
        <f t="shared" si="24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40266884</v>
      </c>
      <c r="M34" s="39">
        <f t="shared" si="31"/>
        <v>0</v>
      </c>
      <c r="N34" s="39">
        <f t="shared" ca="1" si="31"/>
        <v>21120097.669999994</v>
      </c>
      <c r="O34" s="39">
        <f t="shared" ca="1" si="28"/>
        <v>52.450290591146796</v>
      </c>
      <c r="P34" s="39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81370279</v>
      </c>
      <c r="M37" s="55">
        <f t="shared" ca="1" si="32"/>
        <v>82634432.74000001</v>
      </c>
      <c r="N37" s="55">
        <f t="shared" ca="1" si="32"/>
        <v>68661838.910000011</v>
      </c>
      <c r="O37" s="56">
        <f t="shared" ca="1" si="28"/>
        <v>84.381963235003795</v>
      </c>
      <c r="P37" s="56">
        <f t="shared" ca="1" si="24"/>
        <v>83.091075515743896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3">L42+L43</f>
        <v>28127500</v>
      </c>
      <c r="M41" s="79">
        <f t="shared" ca="1" si="33"/>
        <v>28231354</v>
      </c>
      <c r="N41" s="79">
        <f t="shared" ca="1" si="33"/>
        <v>25402603.530000001</v>
      </c>
      <c r="O41" s="78">
        <f t="shared" ref="O41:O43" ca="1" si="34">IF(L41&gt;0,N41*100/L41,0)</f>
        <v>90.312340343080621</v>
      </c>
      <c r="P41" s="78">
        <f t="shared" ref="P41:P43" ca="1" si="35">IF(M41&gt;0,N41*100/M41,0)</f>
        <v>89.9801105182557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28127500</v>
      </c>
      <c r="M43" s="79">
        <f t="shared" ca="1" si="37"/>
        <v>28231354</v>
      </c>
      <c r="N43" s="79">
        <f t="shared" ca="1" si="37"/>
        <v>25402603.530000001</v>
      </c>
      <c r="O43" s="78">
        <f t="shared" ca="1" si="34"/>
        <v>90.312340343080621</v>
      </c>
      <c r="P43" s="78">
        <f t="shared" ca="1" si="35"/>
        <v>89.9801105182557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12870054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10661372.209999999</v>
      </c>
      <c r="O45" s="39">
        <f ca="1">IF(L45&gt;0,N45*100/L45,0)</f>
        <v>83.51249557425075</v>
      </c>
      <c r="P45" s="39">
        <f ca="1">IF(M45&gt;0,N45*100/M45,0)</f>
        <v>82.838597336110624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15361300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15361300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14741231.32</v>
      </c>
      <c r="O49" s="50">
        <f ca="1">IF(L49&gt;0,N49*100/L49,0)</f>
        <v>95.963436167511858</v>
      </c>
      <c r="P49" s="50">
        <f ca="1">IF(M49&gt;0,N49*100/M49,0)</f>
        <v>95.963436167511858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8">L54+L55</f>
        <v>8935700</v>
      </c>
      <c r="M53" s="121">
        <f t="shared" ca="1" si="38"/>
        <v>9086986.6400000006</v>
      </c>
      <c r="N53" s="121">
        <f t="shared" ca="1" si="38"/>
        <v>7987354.1699999999</v>
      </c>
      <c r="O53" s="120">
        <f t="shared" ref="O53:O55" ca="1" si="39">IF(L53&gt;0,N53*100/L53,0)</f>
        <v>89.387000123101714</v>
      </c>
      <c r="P53" s="120">
        <f t="shared" ref="P53:P55" ca="1" si="40">IF(M53&gt;0,N53*100/M53,0)</f>
        <v>87.898821539370061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8935700</v>
      </c>
      <c r="M55" s="121">
        <f t="shared" ca="1" si="42"/>
        <v>9086986.6400000006</v>
      </c>
      <c r="N55" s="121">
        <f t="shared" ca="1" si="42"/>
        <v>7987354.1699999999</v>
      </c>
      <c r="O55" s="120">
        <f t="shared" ca="1" si="39"/>
        <v>89.387000123101714</v>
      </c>
      <c r="P55" s="120">
        <f t="shared" ca="1" si="40"/>
        <v>87.898821539370061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9086986.6400000006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7987354.1699999999</v>
      </c>
      <c r="O57" s="39">
        <f ca="1">IF(L57&gt;0,N57*100/L57,0)</f>
        <v>89.387000123101714</v>
      </c>
      <c r="P57" s="39">
        <f ca="1">IF(M57&gt;0,N57*100/M57,0)</f>
        <v>87.898821539370061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11237560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11308050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9485363.4900000002</v>
      </c>
      <c r="O66" s="151">
        <f t="shared" ref="O66:O68" ca="1" si="44">IF(L66&gt;0,N66*100/L66,0)</f>
        <v>84.407678268236168</v>
      </c>
      <c r="P66" s="151">
        <f t="shared" ref="P66:P68" ca="1" si="45">IF(M66&gt;0,N66*100/M66,0)</f>
        <v>83.881513523551803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11237560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11308050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9485363.4900000002</v>
      </c>
      <c r="O68" s="156">
        <f t="shared" ca="1" si="44"/>
        <v>84.407678268236168</v>
      </c>
      <c r="P68" s="156">
        <f t="shared" ca="1" si="45"/>
        <v>83.881513523551803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7540440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5875889.25</v>
      </c>
      <c r="O70" s="168">
        <f ca="1">IF(L70&gt;0,N70*100/L70,0)</f>
        <v>81.98648299822797</v>
      </c>
      <c r="P70" s="168">
        <f ca="1">IF(M70&gt;0,N70*100/M70,0)</f>
        <v>77.925018301319284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4070660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3767610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3609474.24</v>
      </c>
      <c r="O74" s="50">
        <f ca="1">IF(L74&gt;0,N74*100/L74,0)</f>
        <v>88.670491763006495</v>
      </c>
      <c r="P74" s="50">
        <f ca="1">IF(M74&gt;0,N74*100/M74,0)</f>
        <v>95.802756654749302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7</v>
      </c>
      <c r="K88" s="163">
        <f t="shared" ca="1" si="46"/>
        <v>53.846153846153847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49</v>
      </c>
      <c r="K92" s="143">
        <f t="shared" ref="K92:K93" ca="1" si="47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2455575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2538325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2161576</v>
      </c>
      <c r="O94" s="151">
        <f t="shared" ref="O94:O96" ca="1" si="48">IF(L94&gt;0,N94*100/L94,0)</f>
        <v>88.027284851816788</v>
      </c>
      <c r="P94" s="151">
        <f t="shared" ref="P94:P96" ca="1" si="49">IF(M94&gt;0,N94*100/M94,0)</f>
        <v>85.157574384682817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2455575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2538325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2161576</v>
      </c>
      <c r="O96" s="156">
        <f t="shared" ca="1" si="48"/>
        <v>88.027284851816788</v>
      </c>
      <c r="P96" s="156">
        <f t="shared" ca="1" si="49"/>
        <v>85.157574384682817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1339930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963181</v>
      </c>
      <c r="O98" s="168">
        <f ca="1">IF(L98&gt;0,N98*100/L98,0)</f>
        <v>76.614406847070427</v>
      </c>
      <c r="P98" s="168">
        <f ca="1">IF(M98&gt;0,N98*100/M98,0)</f>
        <v>71.882934183128967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10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10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49</v>
      </c>
      <c r="K109" s="224">
        <f t="shared" ca="1" si="50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49</v>
      </c>
      <c r="K111" s="224">
        <f t="shared" ca="1" si="50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220</v>
      </c>
      <c r="K117" s="143">
        <f ca="1">IF(I117&gt;0,J117*100/I117,0)</f>
        <v>110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993014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992014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842792.6</v>
      </c>
      <c r="O118" s="151">
        <f t="shared" ref="O118:O120" ca="1" si="51">IF(L118&gt;0,N118*100/L118,0)</f>
        <v>84.87217702872266</v>
      </c>
      <c r="P118" s="151">
        <f t="shared" ref="P118:P120" ca="1" si="52">IF(M118&gt;0,N118*100/M118,0)</f>
        <v>84.957732451356534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993014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992014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842792.6</v>
      </c>
      <c r="O120" s="156">
        <f t="shared" ca="1" si="51"/>
        <v>84.87217702872266</v>
      </c>
      <c r="P120" s="156">
        <f t="shared" ca="1" si="52"/>
        <v>84.957732451356534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993014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992014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842792.6</v>
      </c>
      <c r="O122" s="168">
        <f ca="1">IF(L122&gt;0,N122*100/L122,0)</f>
        <v>84.87217702872266</v>
      </c>
      <c r="P122" s="168">
        <f ca="1">IF(M122&gt;0,N122*100/M122,0)</f>
        <v>84.957732451356534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993014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9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9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9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220</v>
      </c>
      <c r="K132" s="224">
        <f t="shared" ref="K132:K133" ca="1" si="53">IF(I132&gt;0,J132*100/I132,0)</f>
        <v>110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6850950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6912673.0999999996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5349230.1399999997</v>
      </c>
      <c r="O140" s="151">
        <f t="shared" ref="O140:O142" ca="1" si="54">IF(L140&gt;0,N140*100/L140,0)</f>
        <v>78.080122318802495</v>
      </c>
      <c r="P140" s="151">
        <f t="shared" ref="P140:P142" ca="1" si="55">IF(M140&gt;0,N140*100/M140,0)</f>
        <v>77.382946692503069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6850950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6912673.0999999996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5349230.1399999997</v>
      </c>
      <c r="O142" s="156">
        <f t="shared" ca="1" si="54"/>
        <v>78.080122318802495</v>
      </c>
      <c r="P142" s="156">
        <f t="shared" ca="1" si="55"/>
        <v>77.382946692503069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6612950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6674673.0999999996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5111230.1399999997</v>
      </c>
      <c r="O144" s="168">
        <f ca="1">IF(L144&gt;0,N144*100/L144,0)</f>
        <v>77.291226154741821</v>
      </c>
      <c r="P144" s="168">
        <f ca="1">IF(M144&gt;0,N144*100/M144,0)</f>
        <v>76.576486419986622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4380150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55</v>
      </c>
      <c r="K149" s="276">
        <f ca="1">IF(I149&gt;0,J149*100/I149,0)</f>
        <v>80.882352941176464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15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13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15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55</v>
      </c>
      <c r="K158" s="163">
        <f ca="1">IF(I158&gt;0,J158*100/I158,0)</f>
        <v>80.882352941176464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1821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1819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13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5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4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4</v>
      </c>
      <c r="K185" s="224">
        <f t="shared" ref="K185:K186" ca="1" si="56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4</v>
      </c>
      <c r="K186" s="224">
        <f t="shared" ca="1" si="56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2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3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934000</v>
      </c>
      <c r="K189" s="285">
        <f ca="1">IF(I189&gt;0,J189*100/I189,0)</f>
        <v>76.307189542483655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13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9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1034000</v>
      </c>
      <c r="K199" s="163">
        <f t="shared" ref="K199:K201" ca="1" si="57">IF(I199&gt;0,J199*100/I199,0)</f>
        <v>84.477124183006538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934000</v>
      </c>
      <c r="K200" s="163">
        <f t="shared" ca="1" si="57"/>
        <v>76.307189542483655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16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90</v>
      </c>
      <c r="K215" s="224">
        <f t="shared" ref="K215:K216" ca="1" si="58">IF(I215&gt;0,J215*100/I215,0)</f>
        <v>69.230769230769226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9</v>
      </c>
      <c r="K216" s="224">
        <f t="shared" ca="1" si="58"/>
        <v>75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331890</v>
      </c>
      <c r="O220" s="151">
        <f t="shared" ref="O220:O222" ca="1" si="59">IF(L220&gt;0,N220*100/L220,0)</f>
        <v>99.81353944242278</v>
      </c>
      <c r="P220" s="151">
        <f t="shared" ref="P220:P222" ca="1" si="60">IF(M220&gt;0,N220*100/M220,0)</f>
        <v>99.81353944242278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331890</v>
      </c>
      <c r="O222" s="156">
        <f t="shared" ca="1" si="59"/>
        <v>99.81353944242278</v>
      </c>
      <c r="P222" s="156">
        <f t="shared" ca="1" si="60"/>
        <v>99.81353944242278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331890</v>
      </c>
      <c r="O224" s="168">
        <f ca="1">IF(L224&gt;0,N224*100/L224,0)</f>
        <v>99.81353944242278</v>
      </c>
      <c r="P224" s="168">
        <f ca="1">IF(M224&gt;0,N224*100/M224,0)</f>
        <v>99.81353944242278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4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26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12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1126000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940774.76</v>
      </c>
      <c r="O250" s="151">
        <f t="shared" ref="O250:O252" ca="1" si="61">IF(L250&gt;0,N250*100/L250,0)</f>
        <v>83.550156305506221</v>
      </c>
      <c r="P250" s="151">
        <f t="shared" ref="P250:P252" ca="1" si="62">IF(M250&gt;0,N250*100/M250,0)</f>
        <v>83.550156305506221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1126000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940774.76</v>
      </c>
      <c r="O252" s="156">
        <f t="shared" ca="1" si="61"/>
        <v>83.550156305506221</v>
      </c>
      <c r="P252" s="156">
        <f t="shared" ca="1" si="62"/>
        <v>83.550156305506221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1126000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940774.76</v>
      </c>
      <c r="O254" s="168">
        <f ca="1">IF(L254&gt;0,N254*100/L254,0)</f>
        <v>83.550156305506221</v>
      </c>
      <c r="P254" s="168">
        <f ca="1">IF(M254&gt;0,N254*100/M254,0)</f>
        <v>83.550156305506221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7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7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6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7</v>
      </c>
      <c r="K264" s="163">
        <f t="shared" ref="K264:K267" ca="1" si="63">IF(I264&gt;0,J264*100/I264,0)</f>
        <v>87.5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75</v>
      </c>
      <c r="K266" s="163">
        <f t="shared" ca="1" si="63"/>
        <v>41.666666666666664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7</v>
      </c>
      <c r="K267" s="163">
        <f t="shared" ca="1" si="63"/>
        <v>87.5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2490100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1776925.2199999997</v>
      </c>
      <c r="O271" s="151">
        <f t="shared" ref="O271:O273" ca="1" si="64">IF(L271&gt;0,N271*100/L271,0)</f>
        <v>71.763063688865543</v>
      </c>
      <c r="P271" s="151">
        <f t="shared" ref="P271:P273" ca="1" si="65">IF(M271&gt;0,N271*100/M271,0)</f>
        <v>71.359592787438245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2490100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1776925.2199999997</v>
      </c>
      <c r="O273" s="156">
        <f t="shared" ca="1" si="64"/>
        <v>71.763063688865543</v>
      </c>
      <c r="P273" s="156">
        <f t="shared" ca="1" si="65"/>
        <v>71.359592787438245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2490100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1776925.2199999997</v>
      </c>
      <c r="O275" s="168">
        <f ca="1">IF(L275&gt;0,N275*100/L275,0)</f>
        <v>71.763063688865543</v>
      </c>
      <c r="P275" s="168">
        <f ca="1">IF(M275&gt;0,N275*100/M275,0)</f>
        <v>71.359592787438245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15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15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2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50045</v>
      </c>
      <c r="O290" s="151">
        <f t="shared" ref="O290:O292" ca="1" si="66">IF(L290&gt;0,N290*100/L290,0)</f>
        <v>41.441702550513412</v>
      </c>
      <c r="P290" s="151">
        <f t="shared" ref="P290:P292" ca="1" si="67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50045</v>
      </c>
      <c r="O292" s="156">
        <f t="shared" ca="1" si="66"/>
        <v>41.441702550513412</v>
      </c>
      <c r="P292" s="156">
        <f t="shared" ca="1" si="67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1022800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613003.42999999993</v>
      </c>
      <c r="O310" s="151">
        <f t="shared" ref="O310:O312" ca="1" si="68">IF(L310&gt;0,N310*100/L310,0)</f>
        <v>79.322390010351953</v>
      </c>
      <c r="P310" s="151">
        <f t="shared" ref="P310:P312" ca="1" si="69">IF(M310&gt;0,N310*100/M310,0)</f>
        <v>59.933851192804063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1022800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613003.42999999993</v>
      </c>
      <c r="O312" s="156">
        <f t="shared" ca="1" si="68"/>
        <v>79.322390010351953</v>
      </c>
      <c r="P312" s="156">
        <f t="shared" ca="1" si="69"/>
        <v>59.933851192804063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1022800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613003.42999999993</v>
      </c>
      <c r="O314" s="168">
        <f ca="1">IF(L314&gt;0,N314*100/L314,0)</f>
        <v>79.322390010351953</v>
      </c>
      <c r="P314" s="168">
        <f ca="1">IF(M314&gt;0,N314*100/M314,0)</f>
        <v>59.933851192804063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5284</v>
      </c>
      <c r="K328" s="317">
        <f ca="1">IF(I328&gt;0,J328*100/I328,0)</f>
        <v>66.473770285570509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17941810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18472860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13720280.570000002</v>
      </c>
      <c r="O329" s="151">
        <f t="shared" ref="O329:O331" ca="1" si="70">IF(L329&gt;0,N329*100/L329,0)</f>
        <v>76.470994676679794</v>
      </c>
      <c r="P329" s="151">
        <f t="shared" ref="P329:P331" ca="1" si="71">IF(M329&gt;0,N329*100/M329,0)</f>
        <v>74.272638725135153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17941810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18472860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13720280.570000002</v>
      </c>
      <c r="O331" s="156">
        <f t="shared" ca="1" si="70"/>
        <v>76.470994676679794</v>
      </c>
      <c r="P331" s="156">
        <f t="shared" ca="1" si="71"/>
        <v>74.272638725135153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17064990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17596040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12914460.570000002</v>
      </c>
      <c r="O333" s="168">
        <f ca="1">IF(L333&gt;0,N333*100/L333,0)</f>
        <v>75.678102184648239</v>
      </c>
      <c r="P333" s="168">
        <f ca="1">IF(M333&gt;0,N333*100/M333,0)</f>
        <v>73.394130554374755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8431690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876820</v>
      </c>
      <c r="M337" s="50">
        <f ca="1">L337</f>
        <v>876820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91.902556967222466</v>
      </c>
      <c r="P337" s="50">
        <f ca="1">IF(M337&gt;0,N337*100/M337,0)</f>
        <v>91.902556967222466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4680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34318.569999999992</v>
      </c>
      <c r="K340" s="342">
        <f t="shared" ca="1" si="72"/>
        <v>81.497435288530014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6968</v>
      </c>
      <c r="K341" s="342">
        <f t="shared" ca="1" si="72"/>
        <v>87.658825009435148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64119.069999999978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83</v>
      </c>
      <c r="K343" s="342">
        <f t="shared" ca="1" si="72"/>
        <v>1.0441564976726632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771.6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5284</v>
      </c>
      <c r="K345" s="342">
        <f t="shared" ca="1" si="72"/>
        <v>66.473770285570509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48573.499999999993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40266884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21120097.669999972</v>
      </c>
      <c r="O347" s="357">
        <f ca="1">+IF(L347&gt;0,N347*100/L347,0)</f>
        <v>52.450290591146739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1468</v>
      </c>
      <c r="K349" s="371">
        <f t="shared" ref="K349:K350" ca="1" si="73">IF(I349&gt;0,J349*100/I349,0)</f>
        <v>79.351351351351354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3916328.05</v>
      </c>
      <c r="O349" s="372">
        <f ca="1">+IF(L349&gt;0,N349*100/L349,0)</f>
        <v>73.824729024109786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3916328.05</v>
      </c>
      <c r="O352" s="165">
        <f t="shared" ca="1" si="74"/>
        <v>73.824729024109786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3916328.05</v>
      </c>
      <c r="O354" s="168">
        <f t="shared" ca="1" si="74"/>
        <v>73.824729024109786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831348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1214968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1290045.45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579966.6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1468</v>
      </c>
      <c r="K375" s="163">
        <f t="shared" ref="K375:K377" ca="1" si="76">IF(I375&gt;0,J375*100/I375,0)</f>
        <v>79.351351351351354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671</v>
      </c>
      <c r="K376" s="163">
        <f t="shared" ca="1" si="76"/>
        <v>87.369791666666671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797</v>
      </c>
      <c r="K377" s="163">
        <f t="shared" ca="1" si="76"/>
        <v>73.659889094269872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3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5000</v>
      </c>
      <c r="K380" s="371">
        <f t="shared" ref="K380:K381" ca="1" si="77">IF(I380&gt;0,J380*100/I380,0)</f>
        <v>37.037037037037038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4926075.0399999982</v>
      </c>
      <c r="O380" s="372">
        <f ca="1">+IF(L380&gt;0,N380*100/L380,0)</f>
        <v>35.682491796628817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4926075.0399999982</v>
      </c>
      <c r="O383" s="165">
        <f t="shared" ca="1" si="78"/>
        <v>35.682491796628817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4926075.0399999982</v>
      </c>
      <c r="O385" s="168">
        <f t="shared" ca="1" si="78"/>
        <v>35.682491796628817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2500667.2000000002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890600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1086253.0899999999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448554.75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16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5000</v>
      </c>
      <c r="K397" s="163">
        <f t="shared" ca="1" si="79"/>
        <v>37.037037037037038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636</v>
      </c>
      <c r="K398" s="163">
        <f t="shared" ca="1" si="79"/>
        <v>47.111111111111114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2877</v>
      </c>
      <c r="K401" s="371">
        <f t="shared" ref="K401:K402" ca="1" si="80">IF(I401&gt;0,J401*100/I401,0)</f>
        <v>100.20898641588296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2757310.95</v>
      </c>
      <c r="O401" s="372">
        <f ca="1">+IF(L401&gt;0,N401*100/L401,0)</f>
        <v>85.457736198752841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959</v>
      </c>
      <c r="K402" s="371">
        <f t="shared" ca="1" si="80"/>
        <v>100.20898641588296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2757310.95</v>
      </c>
      <c r="O404" s="168">
        <f t="shared" ca="1" si="81"/>
        <v>85.457736198752841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2757310.95</v>
      </c>
      <c r="O406" s="168">
        <f t="shared" ca="1" si="81"/>
        <v>85.457736198752841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1901787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432874.95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422649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959</v>
      </c>
      <c r="K416" s="201">
        <f t="shared" ref="K416:K432" ca="1" si="82">IF(I416&gt;0,J416*100/I416,0)</f>
        <v>100.20898641588296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574</v>
      </c>
      <c r="K421" s="201">
        <f t="shared" ca="1" si="82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1722</v>
      </c>
      <c r="K422" s="201">
        <f t="shared" ca="1" si="82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574</v>
      </c>
      <c r="K424" s="163">
        <f t="shared" ca="1" si="82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574</v>
      </c>
      <c r="K425" s="163">
        <f t="shared" ca="1" si="82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185</v>
      </c>
      <c r="K426" s="201">
        <f t="shared" ca="1" si="82"/>
        <v>101.09289617486338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555</v>
      </c>
      <c r="K427" s="201">
        <f t="shared" ca="1" si="82"/>
        <v>101.09289617486338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185</v>
      </c>
      <c r="K428" s="163">
        <f t="shared" ca="1" si="82"/>
        <v>101.09289617486338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185</v>
      </c>
      <c r="K429" s="163">
        <f t="shared" ca="1" si="82"/>
        <v>101.09289617486338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639</v>
      </c>
      <c r="K430" s="201">
        <f t="shared" ca="1" si="82"/>
        <v>82.558139534883722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155</v>
      </c>
      <c r="K431" s="163">
        <f t="shared" ca="1" si="82"/>
        <v>77.5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484</v>
      </c>
      <c r="K432" s="163">
        <f t="shared" ca="1" si="82"/>
        <v>84.320557491289193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2106100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1613606.2899999998</v>
      </c>
      <c r="O435" s="411">
        <f t="shared" ref="O435:O439" ca="1" si="83">+IF(L435&gt;0,N435*100/L435,0)</f>
        <v>76.615843977019125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2106100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1613606.2899999998</v>
      </c>
      <c r="O437" s="168">
        <f t="shared" ca="1" si="83"/>
        <v>76.615843977019125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2106100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1613606.2899999998</v>
      </c>
      <c r="O439" s="168">
        <f t="shared" ca="1" si="83"/>
        <v>76.615843977019125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1139798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473808.29000000004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16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17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2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762273.5</v>
      </c>
      <c r="K455" s="371">
        <f ca="1">IF(I455&gt;0,J455*100/I455,0)</f>
        <v>95.33209187616778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7887358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3470889.08</v>
      </c>
      <c r="O455" s="372">
        <f t="shared" ref="O455:O459" ca="1" si="85">+IF(L455&gt;0,N455*100/L455,0)</f>
        <v>44.005725110994071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7887358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3470889.08</v>
      </c>
      <c r="O457" s="168">
        <f t="shared" ca="1" si="85"/>
        <v>44.005725110994071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7887358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3470889.08</v>
      </c>
      <c r="O459" s="168">
        <f t="shared" ca="1" si="85"/>
        <v>44.005725110994071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978912.34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2491976.7399999998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762273.5</v>
      </c>
      <c r="K464" s="268">
        <f t="shared" ref="K464:K515" ca="1" si="86">IF(I464&gt;0,J464*100/I464,0)</f>
        <v>95.33209187616778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799652.22</v>
      </c>
      <c r="K465" s="201">
        <f t="shared" ca="1" si="86"/>
        <v>100.00678090740597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621324.86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78539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161048.07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14724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17279.29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1910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799642.6399999999</v>
      </c>
      <c r="K473" s="201">
        <f t="shared" ca="1" si="86"/>
        <v>100.00558280535968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120875.84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762273.5</v>
      </c>
      <c r="K481" s="201">
        <f t="shared" ca="1" si="86"/>
        <v>95.33209187616778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89290</v>
      </c>
      <c r="K482" s="201">
        <f t="shared" ca="1" si="86"/>
        <v>93.818625030208153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679432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80490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27611.72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2581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17267.39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1890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16739.43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1836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527.96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54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37962.39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4329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30312.27</v>
      </c>
      <c r="K497" s="444">
        <f t="shared" ca="1" si="86"/>
        <v>66.114705112545806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30312.27</v>
      </c>
      <c r="K498" s="201">
        <f t="shared" ca="1" si="86"/>
        <v>66.114705112545806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2364</v>
      </c>
      <c r="K499" s="201">
        <f t="shared" ca="1" si="86"/>
        <v>63.276231263383295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29056.25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2243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15491.95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1248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13525.3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993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39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2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697.02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66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553.02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51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144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15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559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55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2815.24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244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834.82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56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1787.11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183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193.31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5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450657</v>
      </c>
      <c r="O533" s="411">
        <f t="shared" ref="O533:O537" ca="1" si="87">+IF(L533&gt;0,N533*100/L533,0)</f>
        <v>75.651670303844213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450657</v>
      </c>
      <c r="O535" s="168">
        <f t="shared" ca="1" si="87"/>
        <v>75.651670303844213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450657</v>
      </c>
      <c r="O537" s="168">
        <f t="shared" ca="1" si="87"/>
        <v>75.651670303844213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124283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4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24702</v>
      </c>
      <c r="K551" s="410">
        <f ca="1">IF(I551&gt;0,J551*100/I551,0)</f>
        <v>98.808000000000007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1061341.78</v>
      </c>
      <c r="O551" s="411">
        <f t="shared" ref="O551:O555" ca="1" si="89">+IF(L551&gt;0,N551*100/L551,0)</f>
        <v>69.368743790849678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1061341.78</v>
      </c>
      <c r="O553" s="168">
        <f t="shared" ca="1" si="89"/>
        <v>69.368743790849678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1061341.78</v>
      </c>
      <c r="O555" s="168">
        <f t="shared" ca="1" si="89"/>
        <v>69.368743790849678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457147.11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604194.66999999993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24702</v>
      </c>
      <c r="K560" s="224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487.96444444444444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2499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71841</v>
      </c>
      <c r="K564" s="371">
        <f ca="1">IF(I564&gt;0,J564*100/I564,0)</f>
        <v>220.70967741935485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1690055.9000000001</v>
      </c>
      <c r="O564" s="372">
        <f t="shared" ref="O564:O568" ca="1" si="90">+IF(L564&gt;0,N564*100/L564,0)</f>
        <v>70.946363804278477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1690055.9000000001</v>
      </c>
      <c r="O566" s="168">
        <f t="shared" ca="1" si="90"/>
        <v>70.946363804278477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1690055.9000000001</v>
      </c>
      <c r="O568" s="168">
        <f t="shared" ca="1" si="90"/>
        <v>70.946363804278477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1257639.3100000003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432416.58999999997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71841</v>
      </c>
      <c r="K573" s="201">
        <f ca="1">IF(I573&gt;0,J573*100/I573,0)</f>
        <v>220.70967741935485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107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6300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64103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113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1325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1204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193</v>
      </c>
      <c r="K580" s="371">
        <f ca="1">IF(I580&gt;0,J580*100/I580,0)</f>
        <v>16.029900332225914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3293796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1198487.5799999998</v>
      </c>
      <c r="O580" s="372">
        <f t="shared" ref="O580:O584" ca="1" si="92">+IF(L580&gt;0,N580*100/L580,0)</f>
        <v>36.386211532226035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3293796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1198487.5799999998</v>
      </c>
      <c r="O582" s="168">
        <f t="shared" ca="1" si="92"/>
        <v>36.386211532226035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3293796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1198487.5799999998</v>
      </c>
      <c r="O584" s="168">
        <f t="shared" ca="1" si="92"/>
        <v>36.386211532226035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468324.24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719163.33999999985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1204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1009</v>
      </c>
      <c r="K589" s="163">
        <f t="shared" ref="K589:K596" ca="1" si="93">IF(I589&gt;0,J589*100/I589,0)</f>
        <v>83.803986710963457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759.98</v>
      </c>
      <c r="K590" s="480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1204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649</v>
      </c>
      <c r="K591" s="163">
        <f t="shared" ca="1" si="93"/>
        <v>53.903654485049834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440.11999999999995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1204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143</v>
      </c>
      <c r="K593" s="163">
        <f t="shared" ca="1" si="93"/>
        <v>11.877076411960132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93.449999999999989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1204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193</v>
      </c>
      <c r="K595" s="163">
        <f t="shared" ca="1" si="93"/>
        <v>16.029900332225914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108.1</v>
      </c>
      <c r="K596" s="487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8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35346</v>
      </c>
      <c r="O597" s="411">
        <f t="shared" ref="O597:O601" ca="1" si="94">+IF(L597&gt;0,N597*100/L597,0)</f>
        <v>26.172528693076639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35346</v>
      </c>
      <c r="O599" s="168">
        <f t="shared" ca="1" si="94"/>
        <v>26.172528693076639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35346</v>
      </c>
      <c r="O601" s="168">
        <f t="shared" ca="1" si="94"/>
        <v>26.172528693076639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34146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1671.75</v>
      </c>
      <c r="K612" s="163">
        <f t="shared" ca="1" si="95"/>
        <v>113.72448979591837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1622.75</v>
      </c>
      <c r="K613" s="163">
        <f t="shared" ca="1" si="95"/>
        <v>110.39115646258503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746.75</v>
      </c>
      <c r="K614" s="163">
        <f t="shared" ca="1" si="95"/>
        <v>50.799319727891159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27.193877551020407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347</v>
      </c>
      <c r="K616" s="163">
        <f t="shared" ca="1" si="95"/>
        <v>23.605442176870749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96093011.260000005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71397102.670000002</v>
      </c>
      <c r="K628" s="342">
        <f t="shared" ref="K628:K635" ca="1" si="97">IF(I628&gt;0,J628*100/I628,0)</f>
        <v>74.299995112880794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3896</v>
      </c>
      <c r="K629" s="342">
        <f t="shared" ca="1" si="97"/>
        <v>80.529144274493589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13474065.050000001</v>
      </c>
      <c r="K630" s="342">
        <f t="shared" ca="1" si="97"/>
        <v>12.043740862217186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2288</v>
      </c>
      <c r="K631" s="342">
        <f t="shared" ca="1" si="97"/>
        <v>52.142206016408387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24472617.200000003</v>
      </c>
      <c r="K632" s="342">
        <f t="shared" ca="1" si="97"/>
        <v>32.00976206361247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3940</v>
      </c>
      <c r="K633" s="342">
        <f t="shared" ca="1" si="97"/>
        <v>62.282643060385709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86775000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73601000</v>
      </c>
      <c r="K634" s="342">
        <f t="shared" ca="1" si="97"/>
        <v>84.818208009219248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2624</v>
      </c>
      <c r="J635" s="505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2173</v>
      </c>
      <c r="K635" s="487">
        <f t="shared" ca="1" si="97"/>
        <v>82.8125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270145</v>
      </c>
      <c r="M636" s="511"/>
      <c r="N636" s="510">
        <f ca="1">SUM(N637:N638)</f>
        <v>35446</v>
      </c>
      <c r="O636" s="510">
        <f t="shared" ref="O636:O640" ca="1" si="98">+IF(L636&gt;0,N636*100/L636,0)</f>
        <v>13.121101630605786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8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270145</v>
      </c>
      <c r="M638" s="521"/>
      <c r="N638" s="522">
        <f ca="1">SUM(N639:N640)</f>
        <v>35446</v>
      </c>
      <c r="O638" s="522">
        <f t="shared" ca="1" si="98"/>
        <v>13.121101630605786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8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270145</v>
      </c>
      <c r="M640" s="521"/>
      <c r="N640" s="522">
        <f ca="1">SUM(N641:N644)</f>
        <v>35446</v>
      </c>
      <c r="O640" s="522">
        <f t="shared" ca="1" si="98"/>
        <v>13.121101630605786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35446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6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52.44</v>
      </c>
      <c r="K648" s="537">
        <f t="shared" ref="K648:K651" ca="1" si="99">IF(I648&gt;0,J648*100/I648,0)</f>
        <v>42.634146341463413</v>
      </c>
      <c r="L648" s="522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1"/>
      <c r="N648" s="538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7">
        <f t="shared" ref="O648:O651" ca="1" si="100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6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7">
        <f t="shared" ca="1" si="99"/>
        <v>0</v>
      </c>
      <c r="L649" s="522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1"/>
      <c r="N649" s="538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2560</v>
      </c>
      <c r="O649" s="537">
        <f t="shared" ca="1" si="100"/>
        <v>37.42690058479532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6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55.75</v>
      </c>
      <c r="K650" s="537">
        <f t="shared" ca="1" si="99"/>
        <v>2.8242147922998986</v>
      </c>
      <c r="L650" s="522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1"/>
      <c r="N650" s="538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0</v>
      </c>
      <c r="O650" s="537">
        <f t="shared" ca="1" si="100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6">
        <f ca="1">J657+J660</f>
        <v>820</v>
      </c>
      <c r="K651" s="537">
        <f t="shared" ca="1" si="99"/>
        <v>45.682451253481894</v>
      </c>
      <c r="L651" s="522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1"/>
      <c r="N651" s="538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11340</v>
      </c>
      <c r="O651" s="537">
        <f t="shared" ca="1" si="100"/>
        <v>25.270194986072422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72</v>
      </c>
      <c r="K661" s="537"/>
      <c r="L661" s="522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1"/>
      <c r="N661" s="538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19506</v>
      </c>
      <c r="O661" s="537">
        <f ca="1">IF(L661&gt;0,N661*100/L661,0)</f>
        <v>11.674646875748145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77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6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1363.28</v>
      </c>
      <c r="K663" s="537">
        <f ca="1">IF(I663&gt;0,J663*100/I663,0)</f>
        <v>32.637778309791713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6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8</v>
      </c>
      <c r="K665" s="537">
        <f ca="1">IF(I665&gt;0,J665*100/I665,0)</f>
        <v>10.810810810810811</v>
      </c>
      <c r="L665" s="522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1"/>
      <c r="N665" s="538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2040</v>
      </c>
      <c r="O665" s="537">
        <f ca="1">IF(L665&gt;0,N665*100/L665,0)</f>
        <v>22.972972972972972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8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179.88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6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7">
        <f ca="1">IF(I668&gt;0,J668*100/I668,0)</f>
        <v>0</v>
      </c>
      <c r="L668" s="522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1"/>
      <c r="N668" s="538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6">
        <f ca="1">J674+J677</f>
        <v>0</v>
      </c>
      <c r="K671" s="537">
        <f ca="1">IF(I671&gt;0,J671*100/I671,0)</f>
        <v>0</v>
      </c>
      <c r="L671" s="522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1"/>
      <c r="N671" s="538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7076869</v>
      </c>
      <c r="M8" s="23">
        <f t="shared" ca="1" si="0"/>
        <v>4452981</v>
      </c>
      <c r="N8" s="23">
        <f t="shared" ca="1" si="0"/>
        <v>4371985.3899999987</v>
      </c>
      <c r="O8" s="22">
        <f t="shared" ref="O8:O16" ca="1" si="1">IF(L8&gt;0,N8*100/L8,0)</f>
        <v>61.778526492436114</v>
      </c>
      <c r="P8" s="22">
        <f t="shared" ref="P8:P16" ca="1" si="2">IF(M8&gt;0,N8*100/M8,0)</f>
        <v>98.181092396307079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7076869</v>
      </c>
      <c r="M10" s="30">
        <f t="shared" ca="1" si="4"/>
        <v>4452981</v>
      </c>
      <c r="N10" s="30">
        <f t="shared" ca="1" si="4"/>
        <v>4371985.3899999987</v>
      </c>
      <c r="O10" s="29">
        <f t="shared" ca="1" si="1"/>
        <v>61.778526492436114</v>
      </c>
      <c r="P10" s="29">
        <f t="shared" ca="1" si="2"/>
        <v>98.181092396307079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6955869</v>
      </c>
      <c r="M12" s="39">
        <f t="shared" ca="1" si="6"/>
        <v>4331981</v>
      </c>
      <c r="N12" s="39">
        <f t="shared" ca="1" si="6"/>
        <v>4296985.3899999987</v>
      </c>
      <c r="O12" s="39">
        <f t="shared" ca="1" si="1"/>
        <v>61.774961403097137</v>
      </c>
      <c r="P12" s="39">
        <f t="shared" ca="1" si="2"/>
        <v>99.192156890808121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2200100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4755769</v>
      </c>
      <c r="M14" s="39">
        <f t="shared" si="8"/>
        <v>0</v>
      </c>
      <c r="N14" s="39">
        <f t="shared" ca="1" si="8"/>
        <v>1035801.709999999</v>
      </c>
      <c r="O14" s="39">
        <f t="shared" ca="1" si="1"/>
        <v>21.779899528341243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121000</v>
      </c>
      <c r="M16" s="39">
        <f t="shared" ca="1" si="10"/>
        <v>121000</v>
      </c>
      <c r="N16" s="39">
        <f t="shared" ca="1" si="10"/>
        <v>75000</v>
      </c>
      <c r="O16" s="50">
        <f t="shared" ca="1" si="1"/>
        <v>61.983471074380162</v>
      </c>
      <c r="P16" s="50">
        <f t="shared" ca="1" si="2"/>
        <v>61.983471074380162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4334830</v>
      </c>
      <c r="M18" s="23">
        <f t="shared" ca="1" si="11"/>
        <v>4452981</v>
      </c>
      <c r="N18" s="23">
        <f t="shared" ca="1" si="11"/>
        <v>3336183.6799999997</v>
      </c>
      <c r="O18" s="22">
        <f t="shared" ref="O18:O20" ca="1" si="12">IF(L18&gt;0,N18*100/L18,0)</f>
        <v>76.962272568935802</v>
      </c>
      <c r="P18" s="22">
        <f t="shared" ref="P18:P26" ca="1" si="13">IF(M18&gt;0,N18*100/M18,0)</f>
        <v>74.920231638086932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4334830</v>
      </c>
      <c r="M20" s="30">
        <f t="shared" ca="1" si="15"/>
        <v>4452981</v>
      </c>
      <c r="N20" s="30">
        <f t="shared" ca="1" si="15"/>
        <v>3336183.6799999997</v>
      </c>
      <c r="O20" s="29">
        <f t="shared" ca="1" si="12"/>
        <v>76.962272568935802</v>
      </c>
      <c r="P20" s="29">
        <f t="shared" ca="1" si="13"/>
        <v>74.920231638086932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4213830</v>
      </c>
      <c r="M22" s="42">
        <f t="shared" ca="1" si="18"/>
        <v>4331981</v>
      </c>
      <c r="N22" s="39">
        <f t="shared" ca="1" si="18"/>
        <v>3261183.6799999997</v>
      </c>
      <c r="O22" s="39">
        <f t="shared" ca="1" si="17"/>
        <v>77.392388397253811</v>
      </c>
      <c r="P22" s="39">
        <f t="shared" ca="1" si="13"/>
        <v>75.28157856648032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2200100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2013730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121000</v>
      </c>
      <c r="M26" s="50">
        <f t="shared" ca="1" si="22"/>
        <v>121000</v>
      </c>
      <c r="N26" s="50">
        <f t="shared" ca="1" si="22"/>
        <v>75000</v>
      </c>
      <c r="O26" s="50">
        <f t="shared" ca="1" si="17"/>
        <v>61.983471074380162</v>
      </c>
      <c r="P26" s="50">
        <f t="shared" ca="1" si="13"/>
        <v>61.983471074380162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2742039</v>
      </c>
      <c r="M28" s="23">
        <f t="shared" si="23"/>
        <v>0</v>
      </c>
      <c r="N28" s="23">
        <f t="shared" ca="1" si="23"/>
        <v>1035801.709999999</v>
      </c>
      <c r="O28" s="22">
        <f t="shared" ref="O28:O30" ca="1" si="24">IF(L28&gt;0,N28*100/L28,0)</f>
        <v>37.774871546320057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2742039</v>
      </c>
      <c r="M30" s="30">
        <f t="shared" si="27"/>
        <v>0</v>
      </c>
      <c r="N30" s="30">
        <f t="shared" ca="1" si="27"/>
        <v>1035801.709999999</v>
      </c>
      <c r="O30" s="29">
        <f t="shared" ca="1" si="24"/>
        <v>37.774871546320057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2742039</v>
      </c>
      <c r="M32" s="39">
        <f t="shared" si="30"/>
        <v>0</v>
      </c>
      <c r="N32" s="39">
        <f t="shared" ca="1" si="30"/>
        <v>1035801.709999999</v>
      </c>
      <c r="O32" s="39">
        <f t="shared" ca="1" si="29"/>
        <v>37.774871546320057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2742039</v>
      </c>
      <c r="M34" s="39">
        <f t="shared" si="32"/>
        <v>0</v>
      </c>
      <c r="N34" s="39">
        <f t="shared" ca="1" si="32"/>
        <v>1035801.709999999</v>
      </c>
      <c r="O34" s="39">
        <f t="shared" ca="1" si="29"/>
        <v>37.774871546320057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4334830</v>
      </c>
      <c r="M37" s="55">
        <f t="shared" ca="1" si="33"/>
        <v>4452981</v>
      </c>
      <c r="N37" s="55">
        <f t="shared" ca="1" si="33"/>
        <v>3336183.6799999997</v>
      </c>
      <c r="O37" s="56">
        <f t="shared" ca="1" si="29"/>
        <v>76.962272568935802</v>
      </c>
      <c r="P37" s="56">
        <f t="shared" ca="1" si="25"/>
        <v>74.920231638086932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1038100</v>
      </c>
      <c r="N41" s="79">
        <f t="shared" ca="1" si="34"/>
        <v>885550.05</v>
      </c>
      <c r="O41" s="78">
        <f t="shared" ref="O41:O43" ca="1" si="35">IF(L41&gt;0,N41*100/L41,0)</f>
        <v>85.304888739042482</v>
      </c>
      <c r="P41" s="78">
        <f t="shared" ref="P41:P43" ca="1" si="36">IF(M41&gt;0,N41*100/M41,0)</f>
        <v>85.304888739042482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1038100</v>
      </c>
      <c r="N43" s="79">
        <f t="shared" ca="1" si="38"/>
        <v>885550.05</v>
      </c>
      <c r="O43" s="78">
        <f t="shared" ca="1" si="35"/>
        <v>85.304888739042482</v>
      </c>
      <c r="P43" s="78">
        <f t="shared" ca="1" si="36"/>
        <v>85.304888739042482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IFERROR(__xludf.DUMMYFUNCTION("IMPORTRANGE(""https://docs.google.com/spreadsheets/d/1Yj_ptqi66GCucihVvJfMjLAmec39IyEx_6qawtMGysU/edit?usp=sharing"",""สบก!Q28"")"),1038100)</f>
        <v>1038100</v>
      </c>
      <c r="N45" s="50">
        <f ca="1">IFERROR(__xludf.DUMMYFUNCTION("IMPORTRANGE(""https://docs.google.com/spreadsheets/d/1Yj_ptqi66GCucihVvJfMjLAmec39IyEx_6qawtMGysU/edit?usp=sharing"",""สบก!R28"")"),885550.05)</f>
        <v>885550.05</v>
      </c>
      <c r="O45" s="39">
        <f ca="1">IF(L45&gt;0,N45*100/L45,0)</f>
        <v>85.304888739042482</v>
      </c>
      <c r="P45" s="39">
        <f ca="1">IF(M45&gt;0,N45*100/M45,0)</f>
        <v>85.304888739042482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427871</v>
      </c>
      <c r="N53" s="121">
        <f t="shared" ca="1" si="39"/>
        <v>418903.3</v>
      </c>
      <c r="O53" s="120">
        <f t="shared" ref="O53:O55" ca="1" si="40">IF(L53&gt;0,N53*100/L53,0)</f>
        <v>104.725825</v>
      </c>
      <c r="P53" s="120">
        <f t="shared" ref="P53:P55" ca="1" si="41">IF(M53&gt;0,N53*100/M53,0)</f>
        <v>97.904111285878216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427871</v>
      </c>
      <c r="N55" s="121">
        <f t="shared" ca="1" si="43"/>
        <v>418903.3</v>
      </c>
      <c r="O55" s="120">
        <f t="shared" ca="1" si="40"/>
        <v>104.725825</v>
      </c>
      <c r="P55" s="120">
        <f t="shared" ca="1" si="41"/>
        <v>97.904111285878216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IFERROR(__xludf.DUMMYFUNCTION("IMPORTRANGE(""https://docs.google.com/spreadsheets/d/1Yj_ptqi66GCucihVvJfMjLAmec39IyEx_6qawtMGysU/edit?usp=sharing"",""สบก!Z28"")"),427871)</f>
        <v>427871</v>
      </c>
      <c r="N57" s="50">
        <f ca="1">IFERROR(__xludf.DUMMYFUNCTION("IMPORTRANGE(""https://docs.google.com/spreadsheets/d/1Yj_ptqi66GCucihVvJfMjLAmec39IyEx_6qawtMGysU/edit?usp=sharing"",""สบก!AA28"")"),418903.3)</f>
        <v>418903.3</v>
      </c>
      <c r="O57" s="39">
        <f ca="1">IF(L57&gt;0,N57*100/L57,0)</f>
        <v>104.725825</v>
      </c>
      <c r="P57" s="39">
        <f ca="1">IF(M57&gt;0,N57*100/M57,0)</f>
        <v>97.904111285878216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1752600</v>
      </c>
      <c r="M66" s="152">
        <f t="shared" ca="1" si="45"/>
        <v>1797880</v>
      </c>
      <c r="N66" s="152">
        <f t="shared" ca="1" si="45"/>
        <v>1175719.1299999999</v>
      </c>
      <c r="O66" s="151">
        <f t="shared" ref="O66:O68" ca="1" si="46">IF(L66&gt;0,N66*100/L66,0)</f>
        <v>67.084282209289043</v>
      </c>
      <c r="P66" s="151">
        <f t="shared" ref="P66:P68" ca="1" si="47">IF(M66&gt;0,N66*100/M66,0)</f>
        <v>65.394749927692601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1752600</v>
      </c>
      <c r="M68" s="88">
        <f t="shared" ca="1" si="49"/>
        <v>1797880</v>
      </c>
      <c r="N68" s="88">
        <f t="shared" ca="1" si="49"/>
        <v>1175719.1299999999</v>
      </c>
      <c r="O68" s="156">
        <f t="shared" ca="1" si="46"/>
        <v>67.084282209289043</v>
      </c>
      <c r="P68" s="156">
        <f t="shared" ca="1" si="47"/>
        <v>65.394749927692601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IFERROR(__xludf.DUMMYFUNCTION("IMPORTRANGE(""https://docs.google.com/spreadsheets/d/1Yj_ptqi66GCucihVvJfMjLAmec39IyEx_6qawtMGysU/edit?usp=sharing"",""สบก!AI28"")"),1691880)</f>
        <v>1691880</v>
      </c>
      <c r="N70" s="168">
        <f ca="1">IFERROR(__xludf.DUMMYFUNCTION("IMPORTRANGE(""https://docs.google.com/spreadsheets/d/1Yj_ptqi66GCucihVvJfMjLAmec39IyEx_6qawtMGysU/edit?usp=sharing"",""สบก!AJ28"")"),1115719.13)</f>
        <v>1115719.1299999999</v>
      </c>
      <c r="O70" s="168">
        <f ca="1">IF(L70&gt;0,N70*100/L70,0)</f>
        <v>67.75896574760111</v>
      </c>
      <c r="P70" s="168">
        <f ca="1">IF(M70&gt;0,N70*100/M70,0)</f>
        <v>65.945523914225589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IFERROR(__xludf.DUMMYFUNCTION("IMPORTRANGE(""https://docs.google.com/spreadsheets/d/1Yj_ptqi66GCucihVvJfMjLAmec39IyEx_6qawtMGysU/edit?usp=sharing"",""สบก!AG28"")"),106000)</f>
        <v>106000</v>
      </c>
      <c r="M74" s="50">
        <f ca="1">L74</f>
        <v>106000</v>
      </c>
      <c r="N74" s="50">
        <f ca="1">IFERROR(__xludf.DUMMYFUNCTION("IMPORTRANGE(""https://docs.google.com/spreadsheets/d/1Yj_ptqi66GCucihVvJfMjLAmec39IyEx_6qawtMGysU/edit?usp=sharing"",""สบก!AK28"")"),60000)</f>
        <v>60000</v>
      </c>
      <c r="O74" s="50">
        <f ca="1">IF(L74&gt;0,N74*100/L74,0)</f>
        <v>56.60377358490566</v>
      </c>
      <c r="P74" s="50">
        <f ca="1">IF(M74&gt;0,N74*100/M74,0)</f>
        <v>56.60377358490566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395600</v>
      </c>
      <c r="M140" s="152">
        <f t="shared" ca="1" si="64"/>
        <v>403600</v>
      </c>
      <c r="N140" s="152">
        <f t="shared" ca="1" si="64"/>
        <v>259775.11</v>
      </c>
      <c r="O140" s="151">
        <f t="shared" ref="O140:O142" ca="1" si="65">IF(L140&gt;0,N140*100/L140,0)</f>
        <v>65.666104651162797</v>
      </c>
      <c r="P140" s="151">
        <f t="shared" ref="P140:P142" ca="1" si="66">IF(M140&gt;0,N140*100/M140,0)</f>
        <v>64.364497026759167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395600</v>
      </c>
      <c r="M142" s="88">
        <f t="shared" ca="1" si="68"/>
        <v>403600</v>
      </c>
      <c r="N142" s="88">
        <f t="shared" ca="1" si="68"/>
        <v>259775.11</v>
      </c>
      <c r="O142" s="156">
        <f t="shared" ca="1" si="65"/>
        <v>65.666104651162797</v>
      </c>
      <c r="P142" s="156">
        <f t="shared" ca="1" si="66"/>
        <v>64.364497026759167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395600</v>
      </c>
      <c r="M144" s="167">
        <f ca="1">IFERROR(__xludf.DUMMYFUNCTION("IMPORTRANGE(""https://docs.google.com/spreadsheets/d/1Yj_ptqi66GCucihVvJfMjLAmec39IyEx_6qawtMGysU/edit?usp=sharing"",""สบก!BJ28"")"),403600)</f>
        <v>403600</v>
      </c>
      <c r="N144" s="168">
        <f ca="1">IFERROR(__xludf.DUMMYFUNCTION("IMPORTRANGE(""https://docs.google.com/spreadsheets/d/1Yj_ptqi66GCucihVvJfMjLAmec39IyEx_6qawtMGysU/edit?usp=sharing"",""สบก!BK28"")"),259775.11)</f>
        <v>259775.11</v>
      </c>
      <c r="O144" s="168">
        <f ca="1">IF(L144&gt;0,N144*100/L144,0)</f>
        <v>65.666104651162797</v>
      </c>
      <c r="P144" s="168">
        <f ca="1">IF(M144&gt;0,N144*100/M144,0)</f>
        <v>64.364497026759167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IFERROR(__xludf.DUMMYFUNCTION("IMPORTRANGE(""https://docs.google.com/spreadsheets/d/1Yj_ptqi66GCucihVvJfMjLAmec39IyEx_6qawtMGysU/edit?usp=sharing"",""สบก!BG28"")"),131600)</f>
        <v>131600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IFERROR(__xludf.DUMMYFUNCTION("IMPORTRANGE(""https://docs.google.com/spreadsheets/d/11923uPwbBZFjjGgGUA6NLw09EwE0CqkOc4q9oUmW1yo/edit?usp=sharing"",""พิษณุโลก!J84"")"),177)</f>
        <v>177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IFERROR(__xludf.DUMMYFUNCTION("IMPORTRANGE(""https://docs.google.com/spreadsheets/d/11923uPwbBZFjjGgGUA6NLw09EwE0CqkOc4q9oUmW1yo/edit?usp=sharing"",""พิษณุโลก!J85"")"),177)</f>
        <v>177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41810</v>
      </c>
      <c r="O271" s="151">
        <f t="shared" ref="O271:O273" ca="1" si="84">IF(L271&gt;0,N271*100/L271,0)</f>
        <v>75.742753623188406</v>
      </c>
      <c r="P271" s="151">
        <f t="shared" ref="P271:P273" ca="1" si="85">IF(M271&gt;0,N271*100/M271,0)</f>
        <v>75.742753623188406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41810</v>
      </c>
      <c r="O273" s="156">
        <f t="shared" ca="1" si="84"/>
        <v>75.742753623188406</v>
      </c>
      <c r="P273" s="156">
        <f t="shared" ca="1" si="85"/>
        <v>75.742753623188406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IFERROR(__xludf.DUMMYFUNCTION("IMPORTRANGE(""https://docs.google.com/spreadsheets/d/1Yj_ptqi66GCucihVvJfMjLAmec39IyEx_6qawtMGysU/edit?usp=sharing"",""สบก!CK28"")"),55200)</f>
        <v>55200</v>
      </c>
      <c r="N275" s="168">
        <f ca="1">IFERROR(__xludf.DUMMYFUNCTION("IMPORTRANGE(""https://docs.google.com/spreadsheets/d/1Yj_ptqi66GCucihVvJfMjLAmec39IyEx_6qawtMGysU/edit?usp=sharing"",""สบก!CL28"")"),41810)</f>
        <v>41810</v>
      </c>
      <c r="O275" s="168">
        <f ca="1">IF(L275&gt;0,N275*100/L275,0)</f>
        <v>75.742753623188406</v>
      </c>
      <c r="P275" s="168">
        <f ca="1">IF(M275&gt;0,N275*100/M275,0)</f>
        <v>75.742753623188406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IFERROR(__xludf.DUMMYFUNCTION("IMPORTRANGE(""https://docs.google.com/spreadsheets/d/11923uPwbBZFjjGgGUA6NLw09EwE0CqkOc4q9oUmW1yo/edit?usp=sharing"",""พิษณุโลก!J228"")"),166)</f>
        <v>166</v>
      </c>
      <c r="K328" s="317">
        <f ca="1">IF(I328&gt;0,J328*100/I328,0)</f>
        <v>75.454545454545453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693330</v>
      </c>
      <c r="M329" s="152">
        <f t="shared" ca="1" si="98"/>
        <v>730330</v>
      </c>
      <c r="N329" s="152">
        <f t="shared" ca="1" si="98"/>
        <v>554426.09</v>
      </c>
      <c r="O329" s="151">
        <f t="shared" ref="O329:O331" ca="1" si="99">IF(L329&gt;0,N329*100/L329,0)</f>
        <v>79.965685892720643</v>
      </c>
      <c r="P329" s="151">
        <f t="shared" ref="P329:P331" ca="1" si="100">IF(M329&gt;0,N329*100/M329,0)</f>
        <v>75.914461955554344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693330</v>
      </c>
      <c r="M331" s="88">
        <f t="shared" ca="1" si="102"/>
        <v>730330</v>
      </c>
      <c r="N331" s="88">
        <f t="shared" ca="1" si="102"/>
        <v>554426.09</v>
      </c>
      <c r="O331" s="156">
        <f t="shared" ca="1" si="99"/>
        <v>79.965685892720643</v>
      </c>
      <c r="P331" s="156">
        <f t="shared" ca="1" si="100"/>
        <v>75.914461955554344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IFERROR(__xludf.DUMMYFUNCTION("IMPORTRANGE(""https://docs.google.com/spreadsheets/d/1Yj_ptqi66GCucihVvJfMjLAmec39IyEx_6qawtMGysU/edit?usp=sharing"",""สบก!DL28"")"),715330)</f>
        <v>715330</v>
      </c>
      <c r="N333" s="168">
        <f ca="1">IFERROR(__xludf.DUMMYFUNCTION("IMPORTRANGE(""https://docs.google.com/spreadsheets/d/1Yj_ptqi66GCucihVvJfMjLAmec39IyEx_6qawtMGysU/edit?usp=sharing"",""สบก!DM28"")"),539426.09)</f>
        <v>539426.09</v>
      </c>
      <c r="O333" s="168">
        <f ca="1">IF(L333&gt;0,N333*100/L333,0)</f>
        <v>79.522664484837762</v>
      </c>
      <c r="P333" s="168">
        <f ca="1">IF(M333&gt;0,N333*100/M333,0)</f>
        <v>75.409404051277036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IFERROR(__xludf.DUMMYFUNCTION("IMPORTRANGE(""https://docs.google.com/spreadsheets/d/11923uPwbBZFjjGgGUA6NLw09EwE0CqkOc4q9oUmW1yo/edit?usp=sharing"",""พิษณุโลก!J234"")"),218)</f>
        <v>218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IFERROR(__xludf.DUMMYFUNCTION("IMPORTRANGE(""https://docs.google.com/spreadsheets/d/11923uPwbBZFjjGgGUA6NLw09EwE0CqkOc4q9oUmW1yo/edit?usp=sharing"",""พิษณุโลก!J235"")"),2181.83)</f>
        <v>2181.83</v>
      </c>
      <c r="K340" s="342">
        <f t="shared" ca="1" si="103"/>
        <v>106.95245098039216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IFERROR(__xludf.DUMMYFUNCTION("IMPORTRANGE(""https://docs.google.com/spreadsheets/d/11923uPwbBZFjjGgGUA6NLw09EwE0CqkOc4q9oUmW1yo/edit?usp=sharing"",""พิษณุโลก!J236"")"),276)</f>
        <v>276</v>
      </c>
      <c r="K341" s="342">
        <f t="shared" ca="1" si="103"/>
        <v>125.45454545454545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IFERROR(__xludf.DUMMYFUNCTION("IMPORTRANGE(""https://docs.google.com/spreadsheets/d/11923uPwbBZFjjGgGUA6NLw09EwE0CqkOc4q9oUmW1yo/edit?usp=sharing"",""พิษณุโลก!J237"")"),3062.56)</f>
        <v>3062.56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IFERROR(__xludf.DUMMYFUNCTION("IMPORTRANGE(""https://docs.google.com/spreadsheets/d/11923uPwbBZFjjGgGUA6NLw09EwE0CqkOc4q9oUmW1yo/edit?usp=sharing"",""พิษณุโลก!J238"")"),16)</f>
        <v>16</v>
      </c>
      <c r="K343" s="342">
        <f t="shared" ca="1" si="103"/>
        <v>7.2727272727272725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IFERROR(__xludf.DUMMYFUNCTION("IMPORTRANGE(""https://docs.google.com/spreadsheets/d/11923uPwbBZFjjGgGUA6NLw09EwE0CqkOc4q9oUmW1yo/edit?usp=sharing"",""พิษณุโลก!J239"")"),104.49)</f>
        <v>104.49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IFERROR(__xludf.DUMMYFUNCTION("IMPORTRANGE(""https://docs.google.com/spreadsheets/d/11923uPwbBZFjjGgGUA6NLw09EwE0CqkOc4q9oUmW1yo/edit?usp=sharing"",""พิษณุโลก!J240"")"),166)</f>
        <v>166</v>
      </c>
      <c r="K345" s="342">
        <f t="shared" ca="1" si="103"/>
        <v>75.454545454545453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IFERROR(__xludf.DUMMYFUNCTION("IMPORTRANGE(""https://docs.google.com/spreadsheets/d/11923uPwbBZFjjGgGUA6NLw09EwE0CqkOc4q9oUmW1yo/edit?usp=sharing"",""พิษณุโลก!J241"")"),1688.38)</f>
        <v>1688.38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IFERROR(__xludf.DUMMYFUNCTION("IMPORTRANGE(""https://docs.google.com/spreadsheets/d/11923uPwbBZFjjGgGUA6NLw09EwE0CqkOc4q9oUmW1yo/edit?usp=sharing"",""พิษณุโลก!L242"")"),2742039)</f>
        <v>2742039</v>
      </c>
      <c r="M347" s="357"/>
      <c r="N347" s="357">
        <f ca="1">IFERROR(__xludf.DUMMYFUNCTION("IMPORTRANGE(""https://docs.google.com/spreadsheets/d/11923uPwbBZFjjGgGUA6NLw09EwE0CqkOc4q9oUmW1yo/edit?usp=sharing"",""พิษณุโลก!M242"")"),1035801.71)</f>
        <v>1035801.71</v>
      </c>
      <c r="O347" s="357">
        <f ca="1">+IF(L347&gt;0,N347*100/L347,0)</f>
        <v>37.774871546320092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IFERROR(__xludf.DUMMYFUNCTION("IMPORTRANGE(""https://docs.google.com/spreadsheets/d/11923uPwbBZFjjGgGUA6NLw09EwE0CqkOc4q9oUmW1yo/edit?usp=sharing"",""พิษณุโลก!M275"")"),263380.089999999)</f>
        <v>263380.08999999898</v>
      </c>
      <c r="O380" s="372">
        <f ca="1">+IF(L380&gt;0,N380*100/L380,0)</f>
        <v>25.60767802278993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IFERROR(__xludf.DUMMYFUNCTION("IMPORTRANGE(""https://docs.google.com/spreadsheets/d/11923uPwbBZFjjGgGUA6NLw09EwE0CqkOc4q9oUmW1yo/edit?usp=sharing"",""พิษณุโลก!M278"")"),263380.089999999)</f>
        <v>263380.08999999898</v>
      </c>
      <c r="O383" s="165">
        <f t="shared" ca="1" si="109"/>
        <v>25.60767802278993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IFERROR(__xludf.DUMMYFUNCTION("IMPORTRANGE(""https://docs.google.com/spreadsheets/d/11923uPwbBZFjjGgGUA6NLw09EwE0CqkOc4q9oUmW1yo/edit?usp=sharing"",""พิษณุโลก!M280"")"),263380.089999999)</f>
        <v>263380.08999999898</v>
      </c>
      <c r="O385" s="168">
        <f t="shared" ca="1" si="109"/>
        <v>25.60767802278993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IFERROR(__xludf.DUMMYFUNCTION("IMPORTRANGE(""https://docs.google.com/spreadsheets/d/11923uPwbBZFjjGgGUA6NLw09EwE0CqkOc4q9oUmW1yo/edit?usp=sharing"",""พิษณุโลก!M283"")"),86900.09)</f>
        <v>86900.09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IFERROR(__xludf.DUMMYFUNCTION("IMPORTRANGE(""https://docs.google.com/spreadsheets/d/11923uPwbBZFjjGgGUA6NLw09EwE0CqkOc4q9oUmW1yo/edit?usp=sharing"",""พิษณุโลก!M284"")"),21460)</f>
        <v>21460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IFERROR(__xludf.DUMMYFUNCTION("IMPORTRANGE(""https://docs.google.com/spreadsheets/d/11923uPwbBZFjjGgGUA6NLw09EwE0CqkOc4q9oUmW1yo/edit?usp=sharing"",""พิษณุโลก!M296"")"),147316)</f>
        <v>147316</v>
      </c>
      <c r="O401" s="372">
        <f ca="1">+IF(L401&gt;0,N401*100/L401,0)</f>
        <v>58.38459099556119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IFERROR(__xludf.DUMMYFUNCTION("IMPORTRANGE(""https://docs.google.com/spreadsheets/d/11923uPwbBZFjjGgGUA6NLw09EwE0CqkOc4q9oUmW1yo/edit?usp=sharing"",""พิษณุโลก!M299"")"),147316)</f>
        <v>147316</v>
      </c>
      <c r="O404" s="168">
        <f t="shared" ca="1" si="112"/>
        <v>58.38459099556119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IFERROR(__xludf.DUMMYFUNCTION("IMPORTRANGE(""https://docs.google.com/spreadsheets/d/11923uPwbBZFjjGgGUA6NLw09EwE0CqkOc4q9oUmW1yo/edit?usp=sharing"",""พิษณุโลก!M301"")"),147316)</f>
        <v>147316</v>
      </c>
      <c r="O406" s="168">
        <f t="shared" ca="1" si="112"/>
        <v>58.38459099556119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IFERROR(__xludf.DUMMYFUNCTION("IMPORTRANGE(""https://docs.google.com/spreadsheets/d/11923uPwbBZFjjGgGUA6NLw09EwE0CqkOc4q9oUmW1yo/edit?usp=sharing"",""พิษณุโลก!M302"")"),135456)</f>
        <v>135456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IFERROR(__xludf.DUMMYFUNCTION("IMPORTRANGE(""https://docs.google.com/spreadsheets/d/11923uPwbBZFjjGgGUA6NLw09EwE0CqkOc4q9oUmW1yo/edit?usp=sharing"",""พิษณุโลก!M305"")"),11860)</f>
        <v>11860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IFERROR(__xludf.DUMMYFUNCTION("IMPORTRANGE(""https://docs.google.com/spreadsheets/d/11923uPwbBZFjjGgGUA6NLw09EwE0CqkOc4q9oUmW1yo/edit?usp=sharing"",""พิษณุโลก!M330"")"),79375)</f>
        <v>79375</v>
      </c>
      <c r="O435" s="411">
        <f t="shared" ref="O435:O439" ca="1" si="114">+IF(L435&gt;0,N435*100/L435,0)</f>
        <v>79.375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IFERROR(__xludf.DUMMYFUNCTION("IMPORTRANGE(""https://docs.google.com/spreadsheets/d/11923uPwbBZFjjGgGUA6NLw09EwE0CqkOc4q9oUmW1yo/edit?usp=sharing"",""พิษณุโลก!M332"")"),79375)</f>
        <v>79375</v>
      </c>
      <c r="O437" s="168">
        <f t="shared" ca="1" si="114"/>
        <v>79.375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IFERROR(__xludf.DUMMYFUNCTION("IMPORTRANGE(""https://docs.google.com/spreadsheets/d/11923uPwbBZFjjGgGUA6NLw09EwE0CqkOc4q9oUmW1yo/edit?usp=sharing"",""พิษณุโลก!M334"")"),79375)</f>
        <v>79375</v>
      </c>
      <c r="O439" s="168">
        <f t="shared" ca="1" si="114"/>
        <v>79.375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IFERROR(__xludf.DUMMYFUNCTION("IMPORTRANGE(""https://docs.google.com/spreadsheets/d/11923uPwbBZFjjGgGUA6NLw09EwE0CqkOc4q9oUmW1yo/edit?usp=sharing"",""พิษณุโลก!M335"")"),39880)</f>
        <v>39880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IFERROR(__xludf.DUMMYFUNCTION("IMPORTRANGE(""https://docs.google.com/spreadsheets/d/11923uPwbBZFjjGgGUA6NLw09EwE0CqkOc4q9oUmW1yo/edit?usp=sharing"",""พิษณุโลก!M338"")"),39495)</f>
        <v>39495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IFERROR(__xludf.DUMMYFUNCTION("IMPORTRANGE(""https://docs.google.com/spreadsheets/d/11923uPwbBZFjjGgGUA6NLw09EwE0CqkOc4q9oUmW1yo/edit?usp=sharing"",""พิษณุโลก!J350"")"),59238)</f>
        <v>59238</v>
      </c>
      <c r="K455" s="371">
        <f ca="1">IF(I455&gt;0,J455*100/I455,0)</f>
        <v>93.831971108154349</v>
      </c>
      <c r="L455" s="372">
        <f ca="1">IFERROR(__xludf.DUMMYFUNCTION("IMPORTRANGE(""https://docs.google.com/spreadsheets/d/11923uPwbBZFjjGgGUA6NLw09EwE0CqkOc4q9oUmW1yo/edit?usp=sharing"",""พิษณุโลก!L350"")"),516245)</f>
        <v>516245</v>
      </c>
      <c r="M455" s="372"/>
      <c r="N455" s="372">
        <f ca="1">IFERROR(__xludf.DUMMYFUNCTION("IMPORTRANGE(""https://docs.google.com/spreadsheets/d/11923uPwbBZFjjGgGUA6NLw09EwE0CqkOc4q9oUmW1yo/edit?usp=sharing"",""พิษณุโลก!M350"")"),199988.58)</f>
        <v>199988.58</v>
      </c>
      <c r="O455" s="372">
        <f t="shared" ref="O455:O459" ca="1" si="116">+IF(L455&gt;0,N455*100/L455,0)</f>
        <v>38.739083187246365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IFERROR(__xludf.DUMMYFUNCTION("IMPORTRANGE(""https://docs.google.com/spreadsheets/d/11923uPwbBZFjjGgGUA6NLw09EwE0CqkOc4q9oUmW1yo/edit?usp=sharing"",""พิษณุโลก!L352"")"),516245)</f>
        <v>516245</v>
      </c>
      <c r="M457" s="165"/>
      <c r="N457" s="168">
        <f ca="1">IFERROR(__xludf.DUMMYFUNCTION("IMPORTRANGE(""https://docs.google.com/spreadsheets/d/11923uPwbBZFjjGgGUA6NLw09EwE0CqkOc4q9oUmW1yo/edit?usp=sharing"",""พิษณุโลก!M352"")"),199988.58)</f>
        <v>199988.58</v>
      </c>
      <c r="O457" s="168">
        <f t="shared" ca="1" si="116"/>
        <v>38.739083187246365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IFERROR(__xludf.DUMMYFUNCTION("IMPORTRANGE(""https://docs.google.com/spreadsheets/d/11923uPwbBZFjjGgGUA6NLw09EwE0CqkOc4q9oUmW1yo/edit?usp=sharing"",""พิษณุโลก!L354"")"),516245)</f>
        <v>516245</v>
      </c>
      <c r="M459" s="168"/>
      <c r="N459" s="168">
        <f ca="1">IFERROR(__xludf.DUMMYFUNCTION("IMPORTRANGE(""https://docs.google.com/spreadsheets/d/11923uPwbBZFjjGgGUA6NLw09EwE0CqkOc4q9oUmW1yo/edit?usp=sharing"",""พิษณุโลก!M354"")"),199988.58)</f>
        <v>199988.58</v>
      </c>
      <c r="O459" s="168">
        <f t="shared" ca="1" si="116"/>
        <v>38.739083187246365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IFERROR(__xludf.DUMMYFUNCTION("IMPORTRANGE(""https://docs.google.com/spreadsheets/d/11923uPwbBZFjjGgGUA6NLw09EwE0CqkOc4q9oUmW1yo/edit?usp=sharing"",""พิษณุโลก!M357"")"),86178.58)</f>
        <v>86178.58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IFERROR(__xludf.DUMMYFUNCTION("IMPORTRANGE(""https://docs.google.com/spreadsheets/d/11923uPwbBZFjjGgGUA6NLw09EwE0CqkOc4q9oUmW1yo/edit?usp=sharing"",""พิษณุโลก!M358"")"),113810)</f>
        <v>113810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IFERROR(__xludf.DUMMYFUNCTION("IMPORTRANGE(""https://docs.google.com/spreadsheets/d/11923uPwbBZFjjGgGUA6NLw09EwE0CqkOc4q9oUmW1yo/edit?usp=sharing"",""พิษณุโลก!J359"")"),59238)</f>
        <v>59238</v>
      </c>
      <c r="K464" s="268">
        <f t="shared" ref="K464:K515" ca="1" si="117">IF(I464&gt;0,J464*100/I464,0)</f>
        <v>93.831971108154349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IFERROR(__xludf.DUMMYFUNCTION("IMPORTRANGE(""https://docs.google.com/spreadsheets/d/11923uPwbBZFjjGgGUA6NLw09EwE0CqkOc4q9oUmW1yo/edit?usp=sharing"",""พิษณุโลก!J376"")"),59238)</f>
        <v>59238</v>
      </c>
      <c r="K481" s="201">
        <f t="shared" ca="1" si="117"/>
        <v>93.831971108154349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IFERROR(__xludf.DUMMYFUNCTION("IMPORTRANGE(""https://docs.google.com/spreadsheets/d/11923uPwbBZFjjGgGUA6NLw09EwE0CqkOc4q9oUmW1yo/edit?usp=sharing"",""พิษณุโลก!J377"")"),5406)</f>
        <v>5406</v>
      </c>
      <c r="K482" s="163">
        <f t="shared" ca="1" si="117"/>
        <v>95.851063829787236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IFERROR(__xludf.DUMMYFUNCTION("IMPORTRANGE(""https://docs.google.com/spreadsheets/d/11923uPwbBZFjjGgGUA6NLw09EwE0CqkOc4q9oUmW1yo/edit?usp=sharing"",""พิษณุโลก!J378"")"),58193)</f>
        <v>58193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IFERROR(__xludf.DUMMYFUNCTION("IMPORTRANGE(""https://docs.google.com/spreadsheets/d/11923uPwbBZFjjGgGUA6NLw09EwE0CqkOc4q9oUmW1yo/edit?usp=sharing"",""พิษณุโลก!J379"")"),5301)</f>
        <v>5301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IFERROR(__xludf.DUMMYFUNCTION("IMPORTRANGE(""https://docs.google.com/spreadsheets/d/11923uPwbBZFjjGgGUA6NLw09EwE0CqkOc4q9oUmW1yo/edit?usp=sharing"",""พิษณุโลก!J382"")"),1045)</f>
        <v>1045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IFERROR(__xludf.DUMMYFUNCTION("IMPORTRANGE(""https://docs.google.com/spreadsheets/d/11923uPwbBZFjjGgGUA6NLw09EwE0CqkOc4q9oUmW1yo/edit?usp=sharing"",""พิษณุโลก!J383"")"),105)</f>
        <v>105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IFERROR(__xludf.DUMMYFUNCTION("IMPORTRANGE(""https://docs.google.com/spreadsheets/d/11923uPwbBZFjjGgGUA6NLw09EwE0CqkOc4q9oUmW1yo/edit?usp=sharing"",""พิษณุโลก!J384"")"),1045)</f>
        <v>1045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IFERROR(__xludf.DUMMYFUNCTION("IMPORTRANGE(""https://docs.google.com/spreadsheets/d/11923uPwbBZFjjGgGUA6NLw09EwE0CqkOc4q9oUmW1yo/edit?usp=sharing"",""พิษณุโลก!J385"")"),105)</f>
        <v>105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IFERROR(__xludf.DUMMYFUNCTION("IMPORTRANGE(""https://docs.google.com/spreadsheets/d/11923uPwbBZFjjGgGUA6NLw09EwE0CqkOc4q9oUmW1yo/edit?usp=sharing"",""พิษณุโลก!J392"")"),1774)</f>
        <v>1774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IFERROR(__xludf.DUMMYFUNCTION("IMPORTRANGE(""https://docs.google.com/spreadsheets/d/11923uPwbBZFjjGgGUA6NLw09EwE0CqkOc4q9oUmW1yo/edit?usp=sharing"",""พิษณุโลก!J393"")"),1774)</f>
        <v>1774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IFERROR(__xludf.DUMMYFUNCTION("IMPORTRANGE(""https://docs.google.com/spreadsheets/d/11923uPwbBZFjjGgGUA6NLw09EwE0CqkOc4q9oUmW1yo/edit?usp=sharing"",""พิษณุโลก!J394"")"),106)</f>
        <v>106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IFERROR(__xludf.DUMMYFUNCTION("IMPORTRANGE(""https://docs.google.com/spreadsheets/d/11923uPwbBZFjjGgGUA6NLw09EwE0CqkOc4q9oUmW1yo/edit?usp=sharing"",""พิษณุโลก!J395"")"),1668)</f>
        <v>1668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IFERROR(__xludf.DUMMYFUNCTION("IMPORTRANGE(""https://docs.google.com/spreadsheets/d/11923uPwbBZFjjGgGUA6NLw09EwE0CqkOc4q9oUmW1yo/edit?usp=sharing"",""พิษณุโลก!J396"")"),102)</f>
        <v>102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IFERROR(__xludf.DUMMYFUNCTION("IMPORTRANGE(""https://docs.google.com/spreadsheets/d/11923uPwbBZFjjGgGUA6NLw09EwE0CqkOc4q9oUmW1yo/edit?usp=sharing"",""พิษณุโลก!J399"")"),708)</f>
        <v>708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IFERROR(__xludf.DUMMYFUNCTION("IMPORTRANGE(""https://docs.google.com/spreadsheets/d/11923uPwbBZFjjGgGUA6NLw09EwE0CqkOc4q9oUmW1yo/edit?usp=sharing"",""พิษณุโลก!J400"")"),39)</f>
        <v>39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85.556202679091442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85.556202679091442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85.556202679091442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IFERROR(__xludf.DUMMYFUNCTION("IMPORTRANGE(""https://docs.google.com/spreadsheets/d/11923uPwbBZFjjGgGUA6NLw09EwE0CqkOc4q9oUmW1yo/edit?usp=sharing"",""พิษณุโลก!J446"")"),9118)</f>
        <v>9118</v>
      </c>
      <c r="K551" s="410">
        <f ca="1">IF(I551&gt;0,J551*100/I551,0)</f>
        <v>101.31111111111112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IFERROR(__xludf.DUMMYFUNCTION("IMPORTRANGE(""https://docs.google.com/spreadsheets/d/11923uPwbBZFjjGgGUA6NLw09EwE0CqkOc4q9oUmW1yo/edit?usp=sharing"",""พิษณุโลก!M446"")"),253607.11)</f>
        <v>253607.11</v>
      </c>
      <c r="O551" s="411">
        <f t="shared" ref="O551:O555" ca="1" si="120">+IF(L551&gt;0,N551*100/L551,0)</f>
        <v>47.49196816479401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IFERROR(__xludf.DUMMYFUNCTION("IMPORTRANGE(""https://docs.google.com/spreadsheets/d/11923uPwbBZFjjGgGUA6NLw09EwE0CqkOc4q9oUmW1yo/edit?usp=sharing"",""พิษณุโลก!M448"")"),253607.11)</f>
        <v>253607.11</v>
      </c>
      <c r="O553" s="168">
        <f t="shared" ca="1" si="120"/>
        <v>47.49196816479401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IFERROR(__xludf.DUMMYFUNCTION("IMPORTRANGE(""https://docs.google.com/spreadsheets/d/11923uPwbBZFjjGgGUA6NLw09EwE0CqkOc4q9oUmW1yo/edit?usp=sharing"",""พิษณุโลก!M450"")"),253607.11)</f>
        <v>253607.11</v>
      </c>
      <c r="O555" s="168">
        <f t="shared" ca="1" si="120"/>
        <v>47.49196816479401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IFERROR(__xludf.DUMMYFUNCTION("IMPORTRANGE(""https://docs.google.com/spreadsheets/d/11923uPwbBZFjjGgGUA6NLw09EwE0CqkOc4q9oUmW1yo/edit?usp=sharing"",""พิษณุโลก!M453"")"),186437.11)</f>
        <v>186437.11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IFERROR(__xludf.DUMMYFUNCTION("IMPORTRANGE(""https://docs.google.com/spreadsheets/d/11923uPwbBZFjjGgGUA6NLw09EwE0CqkOc4q9oUmW1yo/edit?usp=sharing"",""พิษณุโลก!M454"")"),67170)</f>
        <v>67170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IFERROR(__xludf.DUMMYFUNCTION("IMPORTRANGE(""https://docs.google.com/spreadsheets/d/11923uPwbBZFjjGgGUA6NLw09EwE0CqkOc4q9oUmW1yo/edit?usp=sharing"",""พิษณุโลก!J455"")"),9118)</f>
        <v>9118</v>
      </c>
      <c r="K560" s="224">
        <f t="shared" ref="K560:K561" ca="1" si="121">IF(I560&gt;0,J560*100/I560,0)</f>
        <v>101.31111111111112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IFERROR(__xludf.DUMMYFUNCTION("IMPORTRANGE(""https://docs.google.com/spreadsheets/d/11923uPwbBZFjjGgGUA6NLw09EwE0CqkOc4q9oUmW1yo/edit?usp=sharing"",""พิษณุโลก!J456"")"),676)</f>
        <v>676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IFERROR(__xludf.DUMMYFUNCTION("IMPORTRANGE(""https://docs.google.com/spreadsheets/d/11923uPwbBZFjjGgGUA6NLw09EwE0CqkOc4q9oUmW1yo/edit?usp=sharing"",""พิษณุโลก!J459"")"),3075)</f>
        <v>3075</v>
      </c>
      <c r="K564" s="371">
        <f ca="1">IF(I564&gt;0,J564*100/I564,0)</f>
        <v>205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IFERROR(__xludf.DUMMYFUNCTION("IMPORTRANGE(""https://docs.google.com/spreadsheets/d/11923uPwbBZFjjGgGUA6NLw09EwE0CqkOc4q9oUmW1yo/edit?usp=sharing"",""พิษณุโลก!M459"")"),60894.93)</f>
        <v>60894.93</v>
      </c>
      <c r="O564" s="372">
        <f t="shared" ref="O564:O568" ca="1" si="122">+IF(L564&gt;0,N564*100/L564,0)</f>
        <v>42.217782861896836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IFERROR(__xludf.DUMMYFUNCTION("IMPORTRANGE(""https://docs.google.com/spreadsheets/d/11923uPwbBZFjjGgGUA6NLw09EwE0CqkOc4q9oUmW1yo/edit?usp=sharing"",""พิษณุโลก!M461"")"),60894.93)</f>
        <v>60894.93</v>
      </c>
      <c r="O566" s="168">
        <f t="shared" ca="1" si="122"/>
        <v>42.217782861896836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IFERROR(__xludf.DUMMYFUNCTION("IMPORTRANGE(""https://docs.google.com/spreadsheets/d/11923uPwbBZFjjGgGUA6NLw09EwE0CqkOc4q9oUmW1yo/edit?usp=sharing"",""พิษณุโลก!M463"")"),60894.93)</f>
        <v>60894.93</v>
      </c>
      <c r="O568" s="168">
        <f t="shared" ca="1" si="122"/>
        <v>42.217782861896836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IFERROR(__xludf.DUMMYFUNCTION("IMPORTRANGE(""https://docs.google.com/spreadsheets/d/11923uPwbBZFjjGgGUA6NLw09EwE0CqkOc4q9oUmW1yo/edit?usp=sharing"",""พิษณุโลก!M466"")"),59394.93)</f>
        <v>59394.93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IFERROR(__xludf.DUMMYFUNCTION("IMPORTRANGE(""https://docs.google.com/spreadsheets/d/11923uPwbBZFjjGgGUA6NLw09EwE0CqkOc4q9oUmW1yo/edit?usp=sharing"",""พิษณุโลก!J468"")"),3075)</f>
        <v>3075</v>
      </c>
      <c r="K573" s="201">
        <f ca="1">IF(I573&gt;0,J573*100/I573,0)</f>
        <v>205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IFERROR(__xludf.DUMMYFUNCTION("IMPORTRANGE(""https://docs.google.com/spreadsheets/d/11923uPwbBZFjjGgGUA6NLw09EwE0CqkOc4q9oUmW1yo/edit?usp=sharing"",""พิษณุโลก!J471"")"),338)</f>
        <v>338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IFERROR(__xludf.DUMMYFUNCTION("IMPORTRANGE(""https://docs.google.com/spreadsheets/d/11923uPwbBZFjjGgGUA6NLw09EwE0CqkOc4q9oUmW1yo/edit?usp=sharing"",""พิษณุโลก!J472"")"),2723)</f>
        <v>2723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IFERROR(__xludf.DUMMYFUNCTION("IMPORTRANGE(""https://docs.google.com/spreadsheets/d/11923uPwbBZFjjGgGUA6NLw09EwE0CqkOc4q9oUmW1yo/edit?usp=sharing"",""พิษณุโลก!J475"")"),3)</f>
        <v>3</v>
      </c>
      <c r="K580" s="371">
        <f ca="1">IF(I580&gt;0,J580*100/I580,0)</f>
        <v>12.5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IFERROR(__xludf.DUMMYFUNCTION("IMPORTRANGE(""https://docs.google.com/spreadsheets/d/11923uPwbBZFjjGgGUA6NLw09EwE0CqkOc4q9oUmW1yo/edit?usp=sharing"",""พิษณุโลก!M475"")"),1460)</f>
        <v>1460</v>
      </c>
      <c r="O580" s="372">
        <f t="shared" ref="O580:O584" ca="1" si="124">+IF(L580&gt;0,N580*100/L580,0)</f>
        <v>1.1421955188384028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IFERROR(__xludf.DUMMYFUNCTION("IMPORTRANGE(""https://docs.google.com/spreadsheets/d/11923uPwbBZFjjGgGUA6NLw09EwE0CqkOc4q9oUmW1yo/edit?usp=sharing"",""พิษณุโลก!M477"")"),1460)</f>
        <v>1460</v>
      </c>
      <c r="O582" s="168">
        <f t="shared" ca="1" si="124"/>
        <v>1.1421955188384028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IFERROR(__xludf.DUMMYFUNCTION("IMPORTRANGE(""https://docs.google.com/spreadsheets/d/11923uPwbBZFjjGgGUA6NLw09EwE0CqkOc4q9oUmW1yo/edit?usp=sharing"",""พิษณุโลก!M479"")"),1460)</f>
        <v>1460</v>
      </c>
      <c r="O584" s="168">
        <f t="shared" ca="1" si="124"/>
        <v>1.1421955188384028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IFERROR(__xludf.DUMMYFUNCTION("IMPORTRANGE(""https://docs.google.com/spreadsheets/d/11923uPwbBZFjjGgGUA6NLw09EwE0CqkOc4q9oUmW1yo/edit?usp=sharing"",""พิษณุโลก!M483"")"),1460)</f>
        <v>1460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IFERROR(__xludf.DUMMYFUNCTION("IMPORTRANGE(""https://docs.google.com/spreadsheets/d/11923uPwbBZFjjGgGUA6NLw09EwE0CqkOc4q9oUmW1yo/edit?usp=sharing"",""พิษณุโลก!J484"")"),6)</f>
        <v>6</v>
      </c>
      <c r="K589" s="163">
        <f t="shared" ref="K589:K596" ca="1" si="125">IF(I589&gt;0,J589*100/I589,0)</f>
        <v>25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IFERROR(__xludf.DUMMYFUNCTION("IMPORTRANGE(""https://docs.google.com/spreadsheets/d/11923uPwbBZFjjGgGUA6NLw09EwE0CqkOc4q9oUmW1yo/edit?usp=sharing"",""พิษณุโลก!J485"")"),28.86)</f>
        <v>28.86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IFERROR(__xludf.DUMMYFUNCTION("IMPORTRANGE(""https://docs.google.com/spreadsheets/d/11923uPwbBZFjjGgGUA6NLw09EwE0CqkOc4q9oUmW1yo/edit?usp=sharing"",""พิษณุโลก!J491"")"),4.76)</f>
        <v>4.76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8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8.791208791208792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IFERROR(__xludf.DUMMYFUNCTION("IMPORTRANGE(""https://docs.google.com/spreadsheets/d/11923uPwbBZFjjGgGUA6NLw09EwE0CqkOc4q9oUmW1yo/edit?usp=sharing"",""พิษณุโลก!J523"")"),3122591.94)</f>
        <v>3122591.94</v>
      </c>
      <c r="K628" s="342">
        <f t="shared" ref="K628:K635" ca="1" si="129">IF(I628&gt;0,J628*100/I628,0)</f>
        <v>80.268106243454298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IFERROR(__xludf.DUMMYFUNCTION("IMPORTRANGE(""https://docs.google.com/spreadsheets/d/11923uPwbBZFjjGgGUA6NLw09EwE0CqkOc4q9oUmW1yo/edit?usp=sharing"",""พิษณุโลก!J524"")"),235)</f>
        <v>235</v>
      </c>
      <c r="K629" s="342">
        <f t="shared" ca="1" si="129"/>
        <v>81.034482758620683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IFERROR(__xludf.DUMMYFUNCTION("IMPORTRANGE(""https://docs.google.com/spreadsheets/d/11923uPwbBZFjjGgGUA6NLw09EwE0CqkOc4q9oUmW1yo/edit?usp=sharing"",""พิษณุโลก!J525"")"),596920.86)</f>
        <v>596920.86</v>
      </c>
      <c r="K630" s="342">
        <f t="shared" ca="1" si="129"/>
        <v>23.301453382535506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IFERROR(__xludf.DUMMYFUNCTION("IMPORTRANGE(""https://docs.google.com/spreadsheets/d/11923uPwbBZFjjGgGUA6NLw09EwE0CqkOc4q9oUmW1yo/edit?usp=sharing"",""พิษณุโลก!J526"")"),93)</f>
        <v>93</v>
      </c>
      <c r="K631" s="342">
        <f t="shared" ca="1" si="129"/>
        <v>80.172413793103445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IFERROR(__xludf.DUMMYFUNCTION("IMPORTRANGE(""https://docs.google.com/spreadsheets/d/11923uPwbBZFjjGgGUA6NLw09EwE0CqkOc4q9oUmW1yo/edit?usp=sharing"",""พิษณุโลก!J529"")"),4000000)</f>
        <v>4000000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IFERROR(__xludf.DUMMYFUNCTION("IMPORTRANGE(""https://docs.google.com/spreadsheets/d/11923uPwbBZFjjGgGUA6NLw09EwE0CqkOc4q9oUmW1yo/edit?usp=sharing"",""พิษณุโลก!I530"")"),100)</f>
        <v>100</v>
      </c>
      <c r="J635" s="505">
        <f ca="1">IFERROR(__xludf.DUMMYFUNCTION("IMPORTRANGE(""https://docs.google.com/spreadsheets/d/11923uPwbBZFjjGgGUA6NLw09EwE0CqkOc4q9oUmW1yo/edit?usp=sharing"",""พิษณุโลก!J530"")"),111)</f>
        <v>111</v>
      </c>
      <c r="K635" s="487">
        <f t="shared" ca="1" si="129"/>
        <v>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IFERROR(__xludf.DUMMYFUNCTION("IMPORTRANGE(""https://docs.google.com/spreadsheets/d/11923uPwbBZFjjGgGUA6NLw09EwE0CqkOc4q9oUmW1yo/edit?usp=sharing"",""พิษณุโลก!J541"")"),0)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IFERROR(__xludf.DUMMYFUNCTION("IMPORTRANGE(""https://docs.google.com/spreadsheets/d/11923uPwbBZFjjGgGUA6NLw09EwE0CqkOc4q9oUmW1yo/edit?usp=sharing"",""พิษณุโลก!J542"")"),0)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IFERROR(__xludf.DUMMYFUNCTION("IMPORTRANGE(""https://docs.google.com/spreadsheets/d/11923uPwbBZFjjGgGUA6NLw09EwE0CqkOc4q9oUmW1yo/edit?usp=sharing"",""พิษณุโลก!I543"")"),0)</f>
        <v>0</v>
      </c>
      <c r="J648" s="536">
        <f ca="1">IFERROR(__xludf.DUMMYFUNCTION("IMPORTRANGE(""https://docs.google.com/spreadsheets/d/11923uPwbBZFjjGgGUA6NLw09EwE0CqkOc4q9oUmW1yo/edit?usp=sharing"",""พิษณุโลก!J543"")"),0)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IFERROR(__xludf.DUMMYFUNCTION("IMPORTRANGE(""https://docs.google.com/spreadsheets/d/11923uPwbBZFjjGgGUA6NLw09EwE0CqkOc4q9oUmW1yo/edit?usp=sharing"",""พิษณุโลก!L543"")"),0)</f>
        <v>0</v>
      </c>
      <c r="M648" s="521"/>
      <c r="N648" s="538">
        <f ca="1">IFERROR(__xludf.DUMMYFUNCTION("IMPORTRANGE(""https://docs.google.com/spreadsheets/d/11923uPwbBZFjjGgGUA6NLw09EwE0CqkOc4q9oUmW1yo/edit?usp=sharing"",""พิษณุโลก!M543"")"),0)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IFERROR(__xludf.DUMMYFUNCTION("IMPORTRANGE(""https://docs.google.com/spreadsheets/d/11923uPwbBZFjjGgGUA6NLw09EwE0CqkOc4q9oUmW1yo/edit?usp=sharing"",""พิษณุโลก!I544"")"),0)</f>
        <v>0</v>
      </c>
      <c r="J649" s="536">
        <f ca="1">IFERROR(__xludf.DUMMYFUNCTION("IMPORTRANGE(""https://docs.google.com/spreadsheets/d/11923uPwbBZFjjGgGUA6NLw09EwE0CqkOc4q9oUmW1yo/edit?usp=sharing"",""พิษณุโลก!J544"")"),0)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IFERROR(__xludf.DUMMYFUNCTION("IMPORTRANGE(""https://docs.google.com/spreadsheets/d/11923uPwbBZFjjGgGUA6NLw09EwE0CqkOc4q9oUmW1yo/edit?usp=sharing"",""พิษณุโลก!L544"")"),0)</f>
        <v>0</v>
      </c>
      <c r="M649" s="521"/>
      <c r="N649" s="538">
        <f ca="1">IFERROR(__xludf.DUMMYFUNCTION("IMPORTRANGE(""https://docs.google.com/spreadsheets/d/11923uPwbBZFjjGgGUA6NLw09EwE0CqkOc4q9oUmW1yo/edit?usp=sharing"",""พิษณุโลก!M544"")"),0)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IFERROR(__xludf.DUMMYFUNCTION("IMPORTRANGE(""https://docs.google.com/spreadsheets/d/11923uPwbBZFjjGgGUA6NLw09EwE0CqkOc4q9oUmW1yo/edit?usp=sharing"",""พิษณุโลก!I545"")"),0)</f>
        <v>0</v>
      </c>
      <c r="J650" s="536">
        <f ca="1">IFERROR(__xludf.DUMMYFUNCTION("IMPORTRANGE(""https://docs.google.com/spreadsheets/d/11923uPwbBZFjjGgGUA6NLw09EwE0CqkOc4q9oUmW1yo/edit?usp=sharing"",""พิษณุโลก!J545"")"),0)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IFERROR(__xludf.DUMMYFUNCTION("IMPORTRANGE(""https://docs.google.com/spreadsheets/d/11923uPwbBZFjjGgGUA6NLw09EwE0CqkOc4q9oUmW1yo/edit?usp=sharing"",""พิษณุโลก!L545"")"),0)</f>
        <v>0</v>
      </c>
      <c r="M650" s="521"/>
      <c r="N650" s="538">
        <f ca="1">IFERROR(__xludf.DUMMYFUNCTION("IMPORTRANGE(""https://docs.google.com/spreadsheets/d/11923uPwbBZFjjGgGUA6NLw09EwE0CqkOc4q9oUmW1yo/edit?usp=sharing"",""พิษณุโลก!M545"")"),0)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IFERROR(__xludf.DUMMYFUNCTION("IMPORTRANGE(""https://docs.google.com/spreadsheets/d/11923uPwbBZFjjGgGUA6NLw09EwE0CqkOc4q9oUmW1yo/edit?usp=sharing"",""พิษณุโลก!I546"")"),0)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IFERROR(__xludf.DUMMYFUNCTION("IMPORTRANGE(""https://docs.google.com/spreadsheets/d/11923uPwbBZFjjGgGUA6NLw09EwE0CqkOc4q9oUmW1yo/edit?usp=sharing"",""พิษณุโลก!L546"")"),0)</f>
        <v>0</v>
      </c>
      <c r="M651" s="521"/>
      <c r="N651" s="538">
        <f ca="1">IFERROR(__xludf.DUMMYFUNCTION("IMPORTRANGE(""https://docs.google.com/spreadsheets/d/11923uPwbBZFjjGgGUA6NLw09EwE0CqkOc4q9oUmW1yo/edit?usp=sharing"",""พิษณุโลก!M546"")"),0)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IFERROR(__xludf.DUMMYFUNCTION("IMPORTRANGE(""https://docs.google.com/spreadsheets/d/11923uPwbBZFjjGgGUA6NLw09EwE0CqkOc4q9oUmW1yo/edit?usp=sharing"",""พิษณุโลก!J547"")"),0)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IFERROR(__xludf.DUMMYFUNCTION("IMPORTRANGE(""https://docs.google.com/spreadsheets/d/11923uPwbBZFjjGgGUA6NLw09EwE0CqkOc4q9oUmW1yo/edit?usp=sharing"",""พิษณุโลก!J548"")"),0)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IFERROR(__xludf.DUMMYFUNCTION("IMPORTRANGE(""https://docs.google.com/spreadsheets/d/11923uPwbBZFjjGgGUA6NLw09EwE0CqkOc4q9oUmW1yo/edit?usp=sharing"",""พิษณุโลก!J550"")"),0)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IFERROR(__xludf.DUMMYFUNCTION("IMPORTRANGE(""https://docs.google.com/spreadsheets/d/11923uPwbBZFjjGgGUA6NLw09EwE0CqkOc4q9oUmW1yo/edit?usp=sharing"",""พิษณุโลก!J551"")"),0)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IFERROR(__xludf.DUMMYFUNCTION("IMPORTRANGE(""https://docs.google.com/spreadsheets/d/11923uPwbBZFjjGgGUA6NLw09EwE0CqkOc4q9oUmW1yo/edit?usp=sharing"",""พิษณุโลก!J552"")"),0)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IFERROR(__xludf.DUMMYFUNCTION("IMPORTRANGE(""https://docs.google.com/spreadsheets/d/11923uPwbBZFjjGgGUA6NLw09EwE0CqkOc4q9oUmW1yo/edit?usp=sharing"",""พิษณุโลก!J553"")"),0)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IFERROR(__xludf.DUMMYFUNCTION("IMPORTRANGE(""https://docs.google.com/spreadsheets/d/11923uPwbBZFjjGgGUA6NLw09EwE0CqkOc4q9oUmW1yo/edit?usp=sharing"",""พิษณุโลก!J554"")"),0)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IFERROR(__xludf.DUMMYFUNCTION("IMPORTRANGE(""https://docs.google.com/spreadsheets/d/11923uPwbBZFjjGgGUA6NLw09EwE0CqkOc4q9oUmW1yo/edit?usp=sharing"",""พิษณุโลก!J555"")"),0)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IFERROR(__xludf.DUMMYFUNCTION("IMPORTRANGE(""https://docs.google.com/spreadsheets/d/11923uPwbBZFjjGgGUA6NLw09EwE0CqkOc4q9oUmW1yo/edit?usp=sharing"",""พิษณุโลก!J556"")"),0)</f>
        <v>0</v>
      </c>
      <c r="K661" s="537"/>
      <c r="L661" s="522">
        <f ca="1">IFERROR(__xludf.DUMMYFUNCTION("IMPORTRANGE(""https://docs.google.com/spreadsheets/d/11923uPwbBZFjjGgGUA6NLw09EwE0CqkOc4q9oUmW1yo/edit?usp=sharing"",""พิษณุโลก!L556"")"),0)</f>
        <v>0</v>
      </c>
      <c r="M661" s="521"/>
      <c r="N661" s="538">
        <f ca="1">IFERROR(__xludf.DUMMYFUNCTION("IMPORTRANGE(""https://docs.google.com/spreadsheets/d/11923uPwbBZFjjGgGUA6NLw09EwE0CqkOc4q9oUmW1yo/edit?usp=sharing"",""พิษณุโลก!M556"")"),0)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IFERROR(__xludf.DUMMYFUNCTION("IMPORTRANGE(""https://docs.google.com/spreadsheets/d/11923uPwbBZFjjGgGUA6NLw09EwE0CqkOc4q9oUmW1yo/edit?usp=sharing"",""พิษณุโลก!J557"")"),0)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IFERROR(__xludf.DUMMYFUNCTION("IMPORTRANGE(""https://docs.google.com/spreadsheets/d/11923uPwbBZFjjGgGUA6NLw09EwE0CqkOc4q9oUmW1yo/edit?usp=sharing"",""พิษณุโลก!I558"")"),0)</f>
        <v>0</v>
      </c>
      <c r="J663" s="536">
        <f ca="1">IFERROR(__xludf.DUMMYFUNCTION("IMPORTRANGE(""https://docs.google.com/spreadsheets/d/11923uPwbBZFjjGgGUA6NLw09EwE0CqkOc4q9oUmW1yo/edit?usp=sharing"",""พิษณุโลก!J558"")"),0)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IFERROR(__xludf.DUMMYFUNCTION("IMPORTRANGE(""https://docs.google.com/spreadsheets/d/11923uPwbBZFjjGgGUA6NLw09EwE0CqkOc4q9oUmW1yo/edit?usp=sharing"",""พิษณุโลก!I560"")"),0)</f>
        <v>0</v>
      </c>
      <c r="J665" s="536">
        <f ca="1">IFERROR(__xludf.DUMMYFUNCTION("IMPORTRANGE(""https://docs.google.com/spreadsheets/d/11923uPwbBZFjjGgGUA6NLw09EwE0CqkOc4q9oUmW1yo/edit?usp=sharing"",""พิษณุโลก!J560"")"),0)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IFERROR(__xludf.DUMMYFUNCTION("IMPORTRANGE(""https://docs.google.com/spreadsheets/d/11923uPwbBZFjjGgGUA6NLw09EwE0CqkOc4q9oUmW1yo/edit?usp=sharing"",""พิษณุโลก!L560"")"),0)</f>
        <v>0</v>
      </c>
      <c r="M665" s="521"/>
      <c r="N665" s="538">
        <f ca="1">IFERROR(__xludf.DUMMYFUNCTION("IMPORTRANGE(""https://docs.google.com/spreadsheets/d/11923uPwbBZFjjGgGUA6NLw09EwE0CqkOc4q9oUmW1yo/edit?usp=sharing"",""พิษณุโลก!M560"")"),0)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IFERROR(__xludf.DUMMYFUNCTION("IMPORTRANGE(""https://docs.google.com/spreadsheets/d/11923uPwbBZFjjGgGUA6NLw09EwE0CqkOc4q9oUmW1yo/edit?usp=sharing"",""พิษณุโลก!J561"")"),0)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IFERROR(__xludf.DUMMYFUNCTION("IMPORTRANGE(""https://docs.google.com/spreadsheets/d/11923uPwbBZFjjGgGUA6NLw09EwE0CqkOc4q9oUmW1yo/edit?usp=sharing"",""พิษณุโลก!J562"")"),0)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IFERROR(__xludf.DUMMYFUNCTION("IMPORTRANGE(""https://docs.google.com/spreadsheets/d/11923uPwbBZFjjGgGUA6NLw09EwE0CqkOc4q9oUmW1yo/edit?usp=sharing"",""พิษณุโลก!I563"")"),0)</f>
        <v>0</v>
      </c>
      <c r="J668" s="536">
        <f ca="1">IFERROR(__xludf.DUMMYFUNCTION("IMPORTRANGE(""https://docs.google.com/spreadsheets/d/11923uPwbBZFjjGgGUA6NLw09EwE0CqkOc4q9oUmW1yo/edit?usp=sharing"",""พิษณุโลก!J563"")"),0)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IFERROR(__xludf.DUMMYFUNCTION("IMPORTRANGE(""https://docs.google.com/spreadsheets/d/11923uPwbBZFjjGgGUA6NLw09EwE0CqkOc4q9oUmW1yo/edit?usp=sharing"",""พิษณุโลก!L563"")"),0)</f>
        <v>0</v>
      </c>
      <c r="M668" s="521"/>
      <c r="N668" s="538">
        <f ca="1">IFERROR(__xludf.DUMMYFUNCTION("IMPORTRANGE(""https://docs.google.com/spreadsheets/d/11923uPwbBZFjjGgGUA6NLw09EwE0CqkOc4q9oUmW1yo/edit?usp=sharing"",""พิษณุโลก!M563"")"),0)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IFERROR(__xludf.DUMMYFUNCTION("IMPORTRANGE(""https://docs.google.com/spreadsheets/d/11923uPwbBZFjjGgGUA6NLw09EwE0CqkOc4q9oUmW1yo/edit?usp=sharing"",""พิษณุโลก!J564"")"),0)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IFERROR(__xludf.DUMMYFUNCTION("IMPORTRANGE(""https://docs.google.com/spreadsheets/d/11923uPwbBZFjjGgGUA6NLw09EwE0CqkOc4q9oUmW1yo/edit?usp=sharing"",""พิษณุโลก!J565"")"),0)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IFERROR(__xludf.DUMMYFUNCTION("IMPORTRANGE(""https://docs.google.com/spreadsheets/d/11923uPwbBZFjjGgGUA6NLw09EwE0CqkOc4q9oUmW1yo/edit?usp=sharing"",""พิษณุโลก!I566"")"),0)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IFERROR(__xludf.DUMMYFUNCTION("IMPORTRANGE(""https://docs.google.com/spreadsheets/d/11923uPwbBZFjjGgGUA6NLw09EwE0CqkOc4q9oUmW1yo/edit?usp=sharing"",""พิษณุโลก!L566"")"),0)</f>
        <v>0</v>
      </c>
      <c r="M671" s="521"/>
      <c r="N671" s="538">
        <f ca="1">IFERROR(__xludf.DUMMYFUNCTION("IMPORTRANGE(""https://docs.google.com/spreadsheets/d/11923uPwbBZFjjGgGUA6NLw09EwE0CqkOc4q9oUmW1yo/edit?usp=sharing"",""พิษณุโลก!M566"")"),0)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IFERROR(__xludf.DUMMYFUNCTION("IMPORTRANGE(""https://docs.google.com/spreadsheets/d/11923uPwbBZFjjGgGUA6NLw09EwE0CqkOc4q9oUmW1yo/edit?usp=sharing"",""พิษณุโลก!J567"")"),0)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IFERROR(__xludf.DUMMYFUNCTION("IMPORTRANGE(""https://docs.google.com/spreadsheets/d/11923uPwbBZFjjGgGUA6NLw09EwE0CqkOc4q9oUmW1yo/edit?usp=sharing"",""พิษณุโลก!J568"")"),0)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IFERROR(__xludf.DUMMYFUNCTION("IMPORTRANGE(""https://docs.google.com/spreadsheets/d/11923uPwbBZFjjGgGUA6NLw09EwE0CqkOc4q9oUmW1yo/edit?usp=sharing"",""พิษณุโลก!J569"")"),0)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IFERROR(__xludf.DUMMYFUNCTION("IMPORTRANGE(""https://docs.google.com/spreadsheets/d/11923uPwbBZFjjGgGUA6NLw09EwE0CqkOc4q9oUmW1yo/edit?usp=sharing"",""พิษณุโลก!J570"")"),0)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IFERROR(__xludf.DUMMYFUNCTION("IMPORTRANGE(""https://docs.google.com/spreadsheets/d/11923uPwbBZFjjGgGUA6NLw09EwE0CqkOc4q9oUmW1yo/edit?usp=sharing"",""พิษณุโลก!J571"")"),0)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IFERROR(__xludf.DUMMYFUNCTION("IMPORTRANGE(""https://docs.google.com/spreadsheets/d/11923uPwbBZFjjGgGUA6NLw09EwE0CqkOc4q9oUmW1yo/edit?usp=sharing"",""พิษณุโลก!J572"")"),0)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7089131</v>
      </c>
      <c r="M8" s="23">
        <f t="shared" ca="1" si="0"/>
        <v>4101124</v>
      </c>
      <c r="N8" s="23">
        <f t="shared" ca="1" si="0"/>
        <v>5148045.54</v>
      </c>
      <c r="O8" s="22">
        <f t="shared" ref="O8:O16" ca="1" si="1">IF(L8&gt;0,N8*100/L8,0)</f>
        <v>72.618851873381942</v>
      </c>
      <c r="P8" s="22">
        <f t="shared" ref="P8:P16" ca="1" si="2">IF(M8&gt;0,N8*100/M8,0)</f>
        <v>125.52767338905139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7089131</v>
      </c>
      <c r="M10" s="30">
        <f t="shared" ca="1" si="4"/>
        <v>4101124</v>
      </c>
      <c r="N10" s="30">
        <f t="shared" ca="1" si="4"/>
        <v>5148045.54</v>
      </c>
      <c r="O10" s="29">
        <f t="shared" ca="1" si="1"/>
        <v>72.618851873381942</v>
      </c>
      <c r="P10" s="29">
        <f t="shared" ca="1" si="2"/>
        <v>125.52767338905139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6855831</v>
      </c>
      <c r="M12" s="39">
        <f t="shared" ca="1" si="6"/>
        <v>3867824</v>
      </c>
      <c r="N12" s="39">
        <f t="shared" ca="1" si="6"/>
        <v>4914745.54</v>
      </c>
      <c r="O12" s="39">
        <f t="shared" ca="1" si="1"/>
        <v>71.687087094183042</v>
      </c>
      <c r="P12" s="39">
        <f t="shared" ca="1" si="2"/>
        <v>127.06745549952635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1991600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4864231</v>
      </c>
      <c r="M14" s="39">
        <f t="shared" si="8"/>
        <v>0</v>
      </c>
      <c r="N14" s="39">
        <f t="shared" ca="1" si="8"/>
        <v>1835862.46</v>
      </c>
      <c r="O14" s="39">
        <f t="shared" ca="1" si="1"/>
        <v>37.742090373586286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4013375</v>
      </c>
      <c r="M18" s="23">
        <f t="shared" ca="1" si="11"/>
        <v>4101124</v>
      </c>
      <c r="N18" s="23">
        <f t="shared" ca="1" si="11"/>
        <v>3312183.08</v>
      </c>
      <c r="O18" s="22">
        <f t="shared" ref="O18:O20" ca="1" si="12">IF(L18&gt;0,N18*100/L18,0)</f>
        <v>82.528621920453489</v>
      </c>
      <c r="P18" s="22">
        <f t="shared" ref="P18:P26" ca="1" si="13">IF(M18&gt;0,N18*100/M18,0)</f>
        <v>80.762812341202064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4013375</v>
      </c>
      <c r="M20" s="30">
        <f t="shared" ca="1" si="15"/>
        <v>4101124</v>
      </c>
      <c r="N20" s="30">
        <f t="shared" ca="1" si="15"/>
        <v>3312183.08</v>
      </c>
      <c r="O20" s="29">
        <f t="shared" ca="1" si="12"/>
        <v>82.528621920453489</v>
      </c>
      <c r="P20" s="29">
        <f t="shared" ca="1" si="13"/>
        <v>80.762812341202064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3780075</v>
      </c>
      <c r="M22" s="42">
        <f t="shared" ca="1" si="18"/>
        <v>3867824</v>
      </c>
      <c r="N22" s="39">
        <f t="shared" ca="1" si="18"/>
        <v>3078883.08</v>
      </c>
      <c r="O22" s="39">
        <f t="shared" ca="1" si="17"/>
        <v>81.450317255610003</v>
      </c>
      <c r="P22" s="39">
        <f t="shared" ca="1" si="13"/>
        <v>79.602460711759377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1991600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1788475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3075756</v>
      </c>
      <c r="M28" s="23">
        <f t="shared" si="23"/>
        <v>0</v>
      </c>
      <c r="N28" s="23">
        <f t="shared" ca="1" si="23"/>
        <v>1835862.46</v>
      </c>
      <c r="O28" s="22">
        <f t="shared" ref="O28:O30" ca="1" si="24">IF(L28&gt;0,N28*100/L28,0)</f>
        <v>59.688169672756878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3075756</v>
      </c>
      <c r="M30" s="30">
        <f t="shared" si="27"/>
        <v>0</v>
      </c>
      <c r="N30" s="30">
        <f t="shared" ca="1" si="27"/>
        <v>1835862.46</v>
      </c>
      <c r="O30" s="29">
        <f t="shared" ca="1" si="24"/>
        <v>59.688169672756878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3075756</v>
      </c>
      <c r="M32" s="39">
        <f t="shared" si="30"/>
        <v>0</v>
      </c>
      <c r="N32" s="39">
        <f t="shared" ca="1" si="30"/>
        <v>1835862.46</v>
      </c>
      <c r="O32" s="39">
        <f t="shared" ca="1" si="29"/>
        <v>59.688169672756878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3075756</v>
      </c>
      <c r="M34" s="39">
        <f t="shared" si="32"/>
        <v>0</v>
      </c>
      <c r="N34" s="39">
        <f t="shared" ca="1" si="32"/>
        <v>1835862.46</v>
      </c>
      <c r="O34" s="39">
        <f t="shared" ca="1" si="29"/>
        <v>59.688169672756878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4013375</v>
      </c>
      <c r="M37" s="55">
        <f t="shared" ca="1" si="33"/>
        <v>4101124</v>
      </c>
      <c r="N37" s="55">
        <f t="shared" ca="1" si="33"/>
        <v>3312183.08</v>
      </c>
      <c r="O37" s="56">
        <f t="shared" ca="1" si="29"/>
        <v>82.528621920453489</v>
      </c>
      <c r="P37" s="56">
        <f t="shared" ca="1" si="25"/>
        <v>80.762812341202064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978600</v>
      </c>
      <c r="N41" s="79">
        <f t="shared" ca="1" si="34"/>
        <v>776595.31</v>
      </c>
      <c r="O41" s="78">
        <f t="shared" ref="O41:O43" ca="1" si="35">IF(L41&gt;0,N41*100/L41,0)</f>
        <v>79.357787655834869</v>
      </c>
      <c r="P41" s="78">
        <f t="shared" ref="P41:P43" ca="1" si="36">IF(M41&gt;0,N41*100/M41,0)</f>
        <v>79.357787655834869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978600</v>
      </c>
      <c r="N43" s="79">
        <f t="shared" ca="1" si="38"/>
        <v>776595.31</v>
      </c>
      <c r="O43" s="78">
        <f t="shared" ca="1" si="35"/>
        <v>79.357787655834869</v>
      </c>
      <c r="P43" s="78">
        <f t="shared" ca="1" si="36"/>
        <v>79.357787655834869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IFERROR(__xludf.DUMMYFUNCTION("IMPORTRANGE(""https://docs.google.com/spreadsheets/d/1Yj_ptqi66GCucihVvJfMjLAmec39IyEx_6qawtMGysU/edit?usp=sharing"",""สบก!Q29"")"),810100)</f>
        <v>810100</v>
      </c>
      <c r="N45" s="50">
        <f ca="1">IFERROR(__xludf.DUMMYFUNCTION("IMPORTRANGE(""https://docs.google.com/spreadsheets/d/1Yj_ptqi66GCucihVvJfMjLAmec39IyEx_6qawtMGysU/edit?usp=sharing"",""สบก!R29"")"),608095.31)</f>
        <v>608095.31000000006</v>
      </c>
      <c r="O45" s="39">
        <f ca="1">IF(L45&gt;0,N45*100/L45,0)</f>
        <v>75.064227873102098</v>
      </c>
      <c r="P45" s="39">
        <f ca="1">IF(M45&gt;0,N45*100/M45,0)</f>
        <v>75.064227873102098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564000</v>
      </c>
      <c r="M53" s="121">
        <f t="shared" ca="1" si="39"/>
        <v>582629</v>
      </c>
      <c r="N53" s="121">
        <f t="shared" ca="1" si="39"/>
        <v>475057</v>
      </c>
      <c r="O53" s="120">
        <f t="shared" ref="O53:O55" ca="1" si="40">IF(L53&gt;0,N53*100/L53,0)</f>
        <v>84.229964539007099</v>
      </c>
      <c r="P53" s="120">
        <f t="shared" ref="P53:P55" ca="1" si="41">IF(M53&gt;0,N53*100/M53,0)</f>
        <v>81.536792710283905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564000</v>
      </c>
      <c r="M55" s="121">
        <f t="shared" ca="1" si="43"/>
        <v>582629</v>
      </c>
      <c r="N55" s="121">
        <f t="shared" ca="1" si="43"/>
        <v>475057</v>
      </c>
      <c r="O55" s="120">
        <f t="shared" ca="1" si="40"/>
        <v>84.229964539007099</v>
      </c>
      <c r="P55" s="120">
        <f t="shared" ca="1" si="41"/>
        <v>81.536792710283905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564000</v>
      </c>
      <c r="M57" s="50">
        <f ca="1">IFERROR(__xludf.DUMMYFUNCTION("IMPORTRANGE(""https://docs.google.com/spreadsheets/d/1Yj_ptqi66GCucihVvJfMjLAmec39IyEx_6qawtMGysU/edit?usp=sharing"",""สบก!Z29"")"),582629)</f>
        <v>582629</v>
      </c>
      <c r="N57" s="50">
        <f ca="1">IFERROR(__xludf.DUMMYFUNCTION("IMPORTRANGE(""https://docs.google.com/spreadsheets/d/1Yj_ptqi66GCucihVvJfMjLAmec39IyEx_6qawtMGysU/edit?usp=sharing"",""สบก!AA29"")"),475057)</f>
        <v>475057</v>
      </c>
      <c r="O57" s="39">
        <f ca="1">IF(L57&gt;0,N57*100/L57,0)</f>
        <v>84.229964539007099</v>
      </c>
      <c r="P57" s="39">
        <f ca="1">IF(M57&gt;0,N57*100/M57,0)</f>
        <v>81.536792710283905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IFERROR(__xludf.DUMMYFUNCTION("IMPORTRANGE(""https://docs.google.com/spreadsheets/d/1Yj_ptqi66GCucihVvJfMjLAmec39IyEx_6qawtMGysU/edit?usp=sharing"",""สบก!V29"")"),564000)</f>
        <v>564000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577500</v>
      </c>
      <c r="M66" s="152">
        <f t="shared" ca="1" si="45"/>
        <v>584120</v>
      </c>
      <c r="N66" s="152">
        <f t="shared" ca="1" si="45"/>
        <v>455662.77</v>
      </c>
      <c r="O66" s="151">
        <f t="shared" ref="O66:O68" ca="1" si="46">IF(L66&gt;0,N66*100/L66,0)</f>
        <v>78.902644155844158</v>
      </c>
      <c r="P66" s="151">
        <f t="shared" ref="P66:P68" ca="1" si="47">IF(M66&gt;0,N66*100/M66,0)</f>
        <v>78.008417790864897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577500</v>
      </c>
      <c r="M68" s="88">
        <f t="shared" ca="1" si="49"/>
        <v>584120</v>
      </c>
      <c r="N68" s="88">
        <f t="shared" ca="1" si="49"/>
        <v>455662.77</v>
      </c>
      <c r="O68" s="156">
        <f t="shared" ca="1" si="46"/>
        <v>78.902644155844158</v>
      </c>
      <c r="P68" s="156">
        <f t="shared" ca="1" si="47"/>
        <v>78.008417790864897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IFERROR(__xludf.DUMMYFUNCTION("IMPORTRANGE(""https://docs.google.com/spreadsheets/d/1Yj_ptqi66GCucihVvJfMjLAmec39IyEx_6qawtMGysU/edit?usp=sharing"",""สบก!AI29"")"),584120)</f>
        <v>584120</v>
      </c>
      <c r="N70" s="168">
        <f ca="1">IFERROR(__xludf.DUMMYFUNCTION("IMPORTRANGE(""https://docs.google.com/spreadsheets/d/1Yj_ptqi66GCucihVvJfMjLAmec39IyEx_6qawtMGysU/edit?usp=sharing"",""สบก!AJ29"")"),455662.77)</f>
        <v>455662.77</v>
      </c>
      <c r="O70" s="168">
        <f ca="1">IF(L70&gt;0,N70*100/L70,0)</f>
        <v>78.902644155844158</v>
      </c>
      <c r="P70" s="168">
        <f ca="1">IF(M70&gt;0,N70*100/M70,0)</f>
        <v>78.008417790864897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87410</v>
      </c>
      <c r="M118" s="152">
        <f t="shared" ca="1" si="58"/>
        <v>87410</v>
      </c>
      <c r="N118" s="152">
        <f t="shared" ca="1" si="58"/>
        <v>78278</v>
      </c>
      <c r="O118" s="151">
        <f t="shared" ref="O118:O120" ca="1" si="59">IF(L118&gt;0,N118*100/L118,0)</f>
        <v>89.552682759409677</v>
      </c>
      <c r="P118" s="151">
        <f t="shared" ref="P118:P120" ca="1" si="60">IF(M118&gt;0,N118*100/M118,0)</f>
        <v>89.552682759409677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87410</v>
      </c>
      <c r="M120" s="88">
        <f t="shared" ca="1" si="62"/>
        <v>87410</v>
      </c>
      <c r="N120" s="88">
        <f t="shared" ca="1" si="62"/>
        <v>78278</v>
      </c>
      <c r="O120" s="156">
        <f t="shared" ca="1" si="59"/>
        <v>89.552682759409677</v>
      </c>
      <c r="P120" s="156">
        <f t="shared" ca="1" si="60"/>
        <v>89.552682759409677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87410</v>
      </c>
      <c r="M122" s="167">
        <f ca="1">IFERROR(__xludf.DUMMYFUNCTION("IMPORTRANGE(""https://docs.google.com/spreadsheets/d/1Yj_ptqi66GCucihVvJfMjLAmec39IyEx_6qawtMGysU/edit?usp=sharing"",""สบก!BA29"")"),87410)</f>
        <v>87410</v>
      </c>
      <c r="N122" s="168">
        <f ca="1">IFERROR(__xludf.DUMMYFUNCTION("IMPORTRANGE(""https://docs.google.com/spreadsheets/d/1Yj_ptqi66GCucihVvJfMjLAmec39IyEx_6qawtMGysU/edit?usp=sharing"",""สบก!BB29"")"),78278)</f>
        <v>78278</v>
      </c>
      <c r="O122" s="168">
        <f ca="1">IF(L122&gt;0,N122*100/L122,0)</f>
        <v>89.552682759409677</v>
      </c>
      <c r="P122" s="168">
        <f ca="1">IF(M122&gt;0,N122*100/M122,0)</f>
        <v>89.552682759409677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IFERROR(__xludf.DUMMYFUNCTION("IMPORTRANGE(""https://docs.google.com/spreadsheets/d/1Yj_ptqi66GCucihVvJfMjLAmec39IyEx_6qawtMGysU/edit?usp=sharing"",""สบก!AX29"")"),87410)</f>
        <v>87410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302300</v>
      </c>
      <c r="M140" s="152">
        <f t="shared" ca="1" si="64"/>
        <v>310300</v>
      </c>
      <c r="N140" s="152">
        <f t="shared" ca="1" si="64"/>
        <v>286230</v>
      </c>
      <c r="O140" s="151">
        <f t="shared" ref="O140:O142" ca="1" si="65">IF(L140&gt;0,N140*100/L140,0)</f>
        <v>94.684088653655309</v>
      </c>
      <c r="P140" s="151">
        <f t="shared" ref="P140:P142" ca="1" si="66">IF(M140&gt;0,N140*100/M140,0)</f>
        <v>92.242990654205613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302300</v>
      </c>
      <c r="M142" s="88">
        <f t="shared" ca="1" si="68"/>
        <v>310300</v>
      </c>
      <c r="N142" s="88">
        <f t="shared" ca="1" si="68"/>
        <v>286230</v>
      </c>
      <c r="O142" s="156">
        <f t="shared" ca="1" si="65"/>
        <v>94.684088653655309</v>
      </c>
      <c r="P142" s="156">
        <f t="shared" ca="1" si="66"/>
        <v>92.242990654205613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302300</v>
      </c>
      <c r="M144" s="167">
        <f ca="1">IFERROR(__xludf.DUMMYFUNCTION("IMPORTRANGE(""https://docs.google.com/spreadsheets/d/1Yj_ptqi66GCucihVvJfMjLAmec39IyEx_6qawtMGysU/edit?usp=sharing"",""สบก!BJ29"")"),310300)</f>
        <v>310300</v>
      </c>
      <c r="N144" s="168">
        <f ca="1">IFERROR(__xludf.DUMMYFUNCTION("IMPORTRANGE(""https://docs.google.com/spreadsheets/d/1Yj_ptqi66GCucihVvJfMjLAmec39IyEx_6qawtMGysU/edit?usp=sharing"",""สบก!BK29"")"),286230)</f>
        <v>286230</v>
      </c>
      <c r="O144" s="168">
        <f ca="1">IF(L144&gt;0,N144*100/L144,0)</f>
        <v>94.684088653655309</v>
      </c>
      <c r="P144" s="168">
        <f ca="1">IF(M144&gt;0,N144*100/M144,0)</f>
        <v>92.242990654205613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IFERROR(__xludf.DUMMYFUNCTION("IMPORTRANGE(""https://docs.google.com/spreadsheets/d/1Yj_ptqi66GCucihVvJfMjLAmec39IyEx_6qawtMGysU/edit?usp=sharing"",""สบก!BG29"")"),170300)</f>
        <v>170300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IFERROR(__xludf.DUMMYFUNCTION("IMPORTRANGE(""https://docs.google.com/spreadsheets/d/11923uPwbBZFjjGgGUA6NLw09EwE0CqkOc4q9oUmW1yo/edit?usp=sharing"",""เพชรบูรณ์!J84"")"),208)</f>
        <v>208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IFERROR(__xludf.DUMMYFUNCTION("IMPORTRANGE(""https://docs.google.com/spreadsheets/d/11923uPwbBZFjjGgGUA6NLw09EwE0CqkOc4q9oUmW1yo/edit?usp=sharing"",""เพชรบูรณ์!J85"")"),208)</f>
        <v>208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IFERROR(__xludf.DUMMYFUNCTION("IMPORTRANGE(""https://docs.google.com/spreadsheets/d/11923uPwbBZFjjGgGUA6NLw09EwE0CqkOc4q9oUmW1yo/edit?usp=sharing"",""เพชรบูรณ์!J110"")"),2)</f>
        <v>2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IFERROR(__xludf.DUMMYFUNCTION("IMPORTRANGE(""https://docs.google.com/spreadsheets/d/11923uPwbBZFjjGgGUA6NLw09EwE0CqkOc4q9oUmW1yo/edit?usp=sharing"",""เพชรบูรณ์!J111"")"),2)</f>
        <v>2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IFERROR(__xludf.DUMMYFUNCTION("IMPORTRANGE(""https://docs.google.com/spreadsheets/d/11923uPwbBZFjjGgGUA6NLw09EwE0CqkOc4q9oUmW1yo/edit?usp=sharing"",""เพชรบูรณ์!J114"")"),128000)</f>
        <v>128000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IFERROR(__xludf.DUMMYFUNCTION("IMPORTRANGE(""https://docs.google.com/spreadsheets/d/11923uPwbBZFjjGgGUA6NLw09EwE0CqkOc4q9oUmW1yo/edit?usp=sharing"",""เพชรบูรณ์!J125"")"),128000)</f>
        <v>128000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IFERROR(__xludf.DUMMYFUNCTION("IMPORTRANGE(""https://docs.google.com/spreadsheets/d/11923uPwbBZFjjGgGUA6NLw09EwE0CqkOc4q9oUmW1yo/edit?usp=sharing"",""เพชรบูรณ์!J127"")"),15)</f>
        <v>15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211144</v>
      </c>
      <c r="O250" s="151">
        <f t="shared" ref="O250:O252" ca="1" si="78">IF(L250&gt;0,N250*100/L250,0)</f>
        <v>106.10251256281407</v>
      </c>
      <c r="P250" s="151">
        <f t="shared" ref="P250:P252" ca="1" si="79">IF(M250&gt;0,N250*100/M250,0)</f>
        <v>106.10251256281407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199000</v>
      </c>
      <c r="N252" s="88">
        <f t="shared" ca="1" si="81"/>
        <v>211144</v>
      </c>
      <c r="O252" s="156">
        <f t="shared" ca="1" si="78"/>
        <v>106.10251256281407</v>
      </c>
      <c r="P252" s="156">
        <f t="shared" ca="1" si="79"/>
        <v>106.10251256281407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IFERROR(__xludf.DUMMYFUNCTION("IMPORTRANGE(""https://docs.google.com/spreadsheets/d/1Yj_ptqi66GCucihVvJfMjLAmec39IyEx_6qawtMGysU/edit?usp=sharing"",""สบก!CB29"")"),199000)</f>
        <v>199000</v>
      </c>
      <c r="N254" s="168">
        <f ca="1">IFERROR(__xludf.DUMMYFUNCTION("IMPORTRANGE(""https://docs.google.com/spreadsheets/d/1Yj_ptqi66GCucihVvJfMjLAmec39IyEx_6qawtMGysU/edit?usp=sharing"",""สบก!CC29"")"),211144)</f>
        <v>211144</v>
      </c>
      <c r="O254" s="168">
        <f ca="1">IF(L254&gt;0,N254*100/L254,0)</f>
        <v>106.10251256281407</v>
      </c>
      <c r="P254" s="168">
        <f ca="1">IF(M254&gt;0,N254*100/M254,0)</f>
        <v>106.10251256281407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73700</v>
      </c>
      <c r="N271" s="152">
        <f t="shared" ca="1" si="83"/>
        <v>45556</v>
      </c>
      <c r="O271" s="151">
        <f t="shared" ref="O271:O273" ca="1" si="84">IF(L271&gt;0,N271*100/L271,0)</f>
        <v>61.812754409769333</v>
      </c>
      <c r="P271" s="151">
        <f t="shared" ref="P271:P273" ca="1" si="85">IF(M271&gt;0,N271*100/M271,0)</f>
        <v>61.812754409769333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73700</v>
      </c>
      <c r="N273" s="88">
        <f t="shared" ca="1" si="87"/>
        <v>45556</v>
      </c>
      <c r="O273" s="156">
        <f t="shared" ca="1" si="84"/>
        <v>61.812754409769333</v>
      </c>
      <c r="P273" s="156">
        <f t="shared" ca="1" si="85"/>
        <v>61.812754409769333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IFERROR(__xludf.DUMMYFUNCTION("IMPORTRANGE(""https://docs.google.com/spreadsheets/d/1Yj_ptqi66GCucihVvJfMjLAmec39IyEx_6qawtMGysU/edit?usp=sharing"",""สบก!CK29"")"),73700)</f>
        <v>73700</v>
      </c>
      <c r="N275" s="168">
        <f ca="1">IFERROR(__xludf.DUMMYFUNCTION("IMPORTRANGE(""https://docs.google.com/spreadsheets/d/1Yj_ptqi66GCucihVvJfMjLAmec39IyEx_6qawtMGysU/edit?usp=sharing"",""สบก!CL29"")"),45556)</f>
        <v>45556</v>
      </c>
      <c r="O275" s="168">
        <f ca="1">IF(L275&gt;0,N275*100/L275,0)</f>
        <v>61.812754409769333</v>
      </c>
      <c r="P275" s="168">
        <f ca="1">IF(M275&gt;0,N275*100/M275,0)</f>
        <v>61.812754409769333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IFERROR(__xludf.DUMMYFUNCTION("IMPORTRANGE(""https://docs.google.com/spreadsheets/d/11923uPwbBZFjjGgGUA6NLw09EwE0CqkOc4q9oUmW1yo/edit?usp=sharing"",""เพชรบูรณ์!J228"")"),469)</f>
        <v>469</v>
      </c>
      <c r="K328" s="317">
        <f ca="1">IF(I328&gt;0,J328*100/I328,0)</f>
        <v>76.885245901639351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1209740</v>
      </c>
      <c r="M329" s="152">
        <f t="shared" ca="1" si="98"/>
        <v>1264240</v>
      </c>
      <c r="N329" s="152">
        <f t="shared" ca="1" si="98"/>
        <v>962535</v>
      </c>
      <c r="O329" s="151">
        <f t="shared" ref="O329:O331" ca="1" si="99">IF(L329&gt;0,N329*100/L329,0)</f>
        <v>79.565443814373339</v>
      </c>
      <c r="P329" s="151">
        <f t="shared" ref="P329:P331" ca="1" si="100">IF(M329&gt;0,N329*100/M329,0)</f>
        <v>76.135464785167372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1209740</v>
      </c>
      <c r="M331" s="88">
        <f t="shared" ca="1" si="102"/>
        <v>1264240</v>
      </c>
      <c r="N331" s="88">
        <f t="shared" ca="1" si="102"/>
        <v>962535</v>
      </c>
      <c r="O331" s="156">
        <f t="shared" ca="1" si="99"/>
        <v>79.565443814373339</v>
      </c>
      <c r="P331" s="156">
        <f t="shared" ca="1" si="100"/>
        <v>76.135464785167372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IFERROR(__xludf.DUMMYFUNCTION("IMPORTRANGE(""https://docs.google.com/spreadsheets/d/1Yj_ptqi66GCucihVvJfMjLAmec39IyEx_6qawtMGysU/edit?usp=sharing"",""สบก!DL29"")"),1199440)</f>
        <v>1199440</v>
      </c>
      <c r="N333" s="168">
        <f ca="1">IFERROR(__xludf.DUMMYFUNCTION("IMPORTRANGE(""https://docs.google.com/spreadsheets/d/1Yj_ptqi66GCucihVvJfMjLAmec39IyEx_6qawtMGysU/edit?usp=sharing"",""สบก!DM29"")"),897735)</f>
        <v>897735</v>
      </c>
      <c r="O333" s="168">
        <f ca="1">IF(L333&gt;0,N333*100/L333,0)</f>
        <v>78.408912257410876</v>
      </c>
      <c r="P333" s="168">
        <f ca="1">IF(M333&gt;0,N333*100/M333,0)</f>
        <v>74.846178216501031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IFERROR(__xludf.DUMMYFUNCTION("IMPORTRANGE(""https://docs.google.com/spreadsheets/d/11923uPwbBZFjjGgGUA6NLw09EwE0CqkOc4q9oUmW1yo/edit?usp=sharing"",""เพชรบูรณ์!J234"")"),396)</f>
        <v>396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IFERROR(__xludf.DUMMYFUNCTION("IMPORTRANGE(""https://docs.google.com/spreadsheets/d/11923uPwbBZFjjGgGUA6NLw09EwE0CqkOc4q9oUmW1yo/edit?usp=sharing"",""เพชรบูรณ์!J235"")"),4330.15)</f>
        <v>4330.1499999999996</v>
      </c>
      <c r="K340" s="342">
        <f t="shared" ca="1" si="103"/>
        <v>73.144425675675663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IFERROR(__xludf.DUMMYFUNCTION("IMPORTRANGE(""https://docs.google.com/spreadsheets/d/11923uPwbBZFjjGgGUA6NLw09EwE0CqkOc4q9oUmW1yo/edit?usp=sharing"",""เพชรบูรณ์!J236"")"),606)</f>
        <v>606</v>
      </c>
      <c r="K341" s="342">
        <f t="shared" ca="1" si="103"/>
        <v>99.344262295081961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IFERROR(__xludf.DUMMYFUNCTION("IMPORTRANGE(""https://docs.google.com/spreadsheets/d/11923uPwbBZFjjGgGUA6NLw09EwE0CqkOc4q9oUmW1yo/edit?usp=sharing"",""เพชรบูรณ์!J237"")"),8643.62)</f>
        <v>8643.6200000000008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IFERROR(__xludf.DUMMYFUNCTION("IMPORTRANGE(""https://docs.google.com/spreadsheets/d/11923uPwbBZFjjGgGUA6NLw09EwE0CqkOc4q9oUmW1yo/edit?usp=sharing"",""เพชรบูรณ์!J240"")"),469)</f>
        <v>469</v>
      </c>
      <c r="K345" s="342">
        <f t="shared" ca="1" si="103"/>
        <v>76.885245901639351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IFERROR(__xludf.DUMMYFUNCTION("IMPORTRANGE(""https://docs.google.com/spreadsheets/d/11923uPwbBZFjjGgGUA6NLw09EwE0CqkOc4q9oUmW1yo/edit?usp=sharing"",""เพชรบูรณ์!J241"")"),6597.78)</f>
        <v>6597.78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IFERROR(__xludf.DUMMYFUNCTION("IMPORTRANGE(""https://docs.google.com/spreadsheets/d/11923uPwbBZFjjGgGUA6NLw09EwE0CqkOc4q9oUmW1yo/edit?usp=sharing"",""เพชรบูรณ์!L242"")"),3075756)</f>
        <v>3075756</v>
      </c>
      <c r="M347" s="357"/>
      <c r="N347" s="357">
        <f ca="1">IFERROR(__xludf.DUMMYFUNCTION("IMPORTRANGE(""https://docs.google.com/spreadsheets/d/11923uPwbBZFjjGgGUA6NLw09EwE0CqkOc4q9oUmW1yo/edit?usp=sharing"",""เพชรบูรณ์!M242"")"),1835862.46)</f>
        <v>1835862.46</v>
      </c>
      <c r="O347" s="357">
        <f ca="1">+IF(L347&gt;0,N347*100/L347,0)</f>
        <v>59.688169672756878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IFERROR(__xludf.DUMMYFUNCTION("IMPORTRANGE(""https://docs.google.com/spreadsheets/d/11923uPwbBZFjjGgGUA6NLw09EwE0CqkOc4q9oUmW1yo/edit?usp=sharing"",""เพชรบูรณ์!L244"")"),664130)</f>
        <v>664130</v>
      </c>
      <c r="M349" s="372"/>
      <c r="N349" s="372">
        <f ca="1">IFERROR(__xludf.DUMMYFUNCTION("IMPORTRANGE(""https://docs.google.com/spreadsheets/d/11923uPwbBZFjjGgGUA6NLw09EwE0CqkOc4q9oUmW1yo/edit?usp=sharing"",""เพชรบูรณ์!M244"")"),616520)</f>
        <v>616520</v>
      </c>
      <c r="O349" s="372">
        <f ca="1">+IF(L349&gt;0,N349*100/L349,0)</f>
        <v>92.831222802764515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IFERROR(__xludf.DUMMYFUNCTION("IMPORTRANGE(""https://docs.google.com/spreadsheets/d/11923uPwbBZFjjGgGUA6NLw09EwE0CqkOc4q9oUmW1yo/edit?usp=sharing"",""เพชรบูรณ์!M247"")"),616520)</f>
        <v>616520</v>
      </c>
      <c r="O352" s="165">
        <f t="shared" ca="1" si="105"/>
        <v>92.831222802764515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IFERROR(__xludf.DUMMYFUNCTION("IMPORTRANGE(""https://docs.google.com/spreadsheets/d/11923uPwbBZFjjGgGUA6NLw09EwE0CqkOc4q9oUmW1yo/edit?usp=sharing"",""เพชรบูรณ์!M249"")"),616520)</f>
        <v>616520</v>
      </c>
      <c r="O354" s="168">
        <f t="shared" ca="1" si="105"/>
        <v>92.831222802764515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IFERROR(__xludf.DUMMYFUNCTION("IMPORTRANGE(""https://docs.google.com/spreadsheets/d/11923uPwbBZFjjGgGUA6NLw09EwE0CqkOc4q9oUmW1yo/edit?usp=sharing"",""เพชรบูรณ์!M250"")"),124390)</f>
        <v>124390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IFERROR(__xludf.DUMMYFUNCTION("IMPORTRANGE(""https://docs.google.com/spreadsheets/d/11923uPwbBZFjjGgGUA6NLw09EwE0CqkOc4q9oUmW1yo/edit?usp=sharing"",""เพชรบูรณ์!M252"")"),98248)</f>
        <v>98248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IFERROR(__xludf.DUMMYFUNCTION("IMPORTRANGE(""https://docs.google.com/spreadsheets/d/11923uPwbBZFjjGgGUA6NLw09EwE0CqkOc4q9oUmW1yo/edit?usp=sharing"",""เพชรบูรณ์!M253"")"),46382)</f>
        <v>46382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IFERROR(__xludf.DUMMYFUNCTION("IMPORTRANGE(""https://docs.google.com/spreadsheets/d/11923uPwbBZFjjGgGUA6NLw09EwE0CqkOc4q9oUmW1yo/edit?usp=sharing"",""เพชรบูรณ์!M275"")"),334546)</f>
        <v>334546</v>
      </c>
      <c r="O380" s="372">
        <f ca="1">+IF(L380&gt;0,N380*100/L380,0)</f>
        <v>32.526931902150665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IFERROR(__xludf.DUMMYFUNCTION("IMPORTRANGE(""https://docs.google.com/spreadsheets/d/11923uPwbBZFjjGgGUA6NLw09EwE0CqkOc4q9oUmW1yo/edit?usp=sharing"",""เพชรบูรณ์!M278"")"),334546)</f>
        <v>334546</v>
      </c>
      <c r="O383" s="165">
        <f t="shared" ca="1" si="109"/>
        <v>32.526931902150665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IFERROR(__xludf.DUMMYFUNCTION("IMPORTRANGE(""https://docs.google.com/spreadsheets/d/11923uPwbBZFjjGgGUA6NLw09EwE0CqkOc4q9oUmW1yo/edit?usp=sharing"",""เพชรบูรณ์!M280"")"),334546)</f>
        <v>334546</v>
      </c>
      <c r="O385" s="168">
        <f t="shared" ca="1" si="109"/>
        <v>32.526931902150665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IFERROR(__xludf.DUMMYFUNCTION("IMPORTRANGE(""https://docs.google.com/spreadsheets/d/11923uPwbBZFjjGgGUA6NLw09EwE0CqkOc4q9oUmW1yo/edit?usp=sharing"",""เพชรบูรณ์!M281"")"),191738)</f>
        <v>191738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IFERROR(__xludf.DUMMYFUNCTION("IMPORTRANGE(""https://docs.google.com/spreadsheets/d/11923uPwbBZFjjGgGUA6NLw09EwE0CqkOc4q9oUmW1yo/edit?usp=sharing"",""เพชรบูรณ์!M283"")"),98248)</f>
        <v>98248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IFERROR(__xludf.DUMMYFUNCTION("IMPORTRANGE(""https://docs.google.com/spreadsheets/d/11923uPwbBZFjjGgGUA6NLw09EwE0CqkOc4q9oUmW1yo/edit?usp=sharing"",""เพชรบูรณ์!M284"")"),44560)</f>
        <v>44560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IFERROR(__xludf.DUMMYFUNCTION("IMPORTRANGE(""https://docs.google.com/spreadsheets/d/11923uPwbBZFjjGgGUA6NLw09EwE0CqkOc4q9oUmW1yo/edit?usp=sharing"",""เพชรบูรณ์!M296"")"),228220)</f>
        <v>228220</v>
      </c>
      <c r="O401" s="372">
        <f ca="1">+IF(L401&gt;0,N401*100/L401,0)</f>
        <v>93.32624519506011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IFERROR(__xludf.DUMMYFUNCTION("IMPORTRANGE(""https://docs.google.com/spreadsheets/d/11923uPwbBZFjjGgGUA6NLw09EwE0CqkOc4q9oUmW1yo/edit?usp=sharing"",""เพชรบูรณ์!M299"")"),228220)</f>
        <v>228220</v>
      </c>
      <c r="O404" s="168">
        <f t="shared" ca="1" si="112"/>
        <v>93.32624519506011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IFERROR(__xludf.DUMMYFUNCTION("IMPORTRANGE(""https://docs.google.com/spreadsheets/d/11923uPwbBZFjjGgGUA6NLw09EwE0CqkOc4q9oUmW1yo/edit?usp=sharing"",""เพชรบูรณ์!M301"")"),228220)</f>
        <v>228220</v>
      </c>
      <c r="O406" s="168">
        <f t="shared" ca="1" si="112"/>
        <v>93.32624519506011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IFERROR(__xludf.DUMMYFUNCTION("IMPORTRANGE(""https://docs.google.com/spreadsheets/d/11923uPwbBZFjjGgGUA6NLw09EwE0CqkOc4q9oUmW1yo/edit?usp=sharing"",""เพชรบูรณ์!M305"")"),21720)</f>
        <v>21720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IFERROR(__xludf.DUMMYFUNCTION("IMPORTRANGE(""https://docs.google.com/spreadsheets/d/11923uPwbBZFjjGgGUA6NLw09EwE0CqkOc4q9oUmW1yo/edit?usp=sharing"",""เพชรบูรณ์!M330"")"),128149)</f>
        <v>128149</v>
      </c>
      <c r="O435" s="411">
        <f t="shared" ref="O435:O439" ca="1" si="114">+IF(L435&gt;0,N435*100/L435,0)</f>
        <v>79.104320987654319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IFERROR(__xludf.DUMMYFUNCTION("IMPORTRANGE(""https://docs.google.com/spreadsheets/d/11923uPwbBZFjjGgGUA6NLw09EwE0CqkOc4q9oUmW1yo/edit?usp=sharing"",""เพชรบูรณ์!M332"")"),128149)</f>
        <v>128149</v>
      </c>
      <c r="O437" s="168">
        <f t="shared" ca="1" si="114"/>
        <v>79.104320987654319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IFERROR(__xludf.DUMMYFUNCTION("IMPORTRANGE(""https://docs.google.com/spreadsheets/d/11923uPwbBZFjjGgGUA6NLw09EwE0CqkOc4q9oUmW1yo/edit?usp=sharing"",""เพชรบูรณ์!M334"")"),128149)</f>
        <v>128149</v>
      </c>
      <c r="O439" s="168">
        <f t="shared" ca="1" si="114"/>
        <v>79.104320987654319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IFERROR(__xludf.DUMMYFUNCTION("IMPORTRANGE(""https://docs.google.com/spreadsheets/d/11923uPwbBZFjjGgGUA6NLw09EwE0CqkOc4q9oUmW1yo/edit?usp=sharing"",""เพชรบูรณ์!M335"")"),96439)</f>
        <v>96439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IFERROR(__xludf.DUMMYFUNCTION("IMPORTRANGE(""https://docs.google.com/spreadsheets/d/11923uPwbBZFjjGgGUA6NLw09EwE0CqkOc4q9oUmW1yo/edit?usp=sharing"",""เพชรบูรณ์!M338"")"),31710)</f>
        <v>31710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IFERROR(__xludf.DUMMYFUNCTION("IMPORTRANGE(""https://docs.google.com/spreadsheets/d/11923uPwbBZFjjGgGUA6NLw09EwE0CqkOc4q9oUmW1yo/edit?usp=sharing"",""เพชรบูรณ์!J350"")"),55710)</f>
        <v>55710</v>
      </c>
      <c r="K455" s="371">
        <f ca="1">IF(I455&gt;0,J455*100/I455,0)</f>
        <v>100.01077121930203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IFERROR(__xludf.DUMMYFUNCTION("IMPORTRANGE(""https://docs.google.com/spreadsheets/d/11923uPwbBZFjjGgGUA6NLw09EwE0CqkOc4q9oUmW1yo/edit?usp=sharing"",""เพชรบูรณ์!M350"")"),151472)</f>
        <v>151472</v>
      </c>
      <c r="O455" s="372">
        <f t="shared" ref="O455:O459" ca="1" si="116">+IF(L455&gt;0,N455*100/L455,0)</f>
        <v>35.162590302152395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IFERROR(__xludf.DUMMYFUNCTION("IMPORTRANGE(""https://docs.google.com/spreadsheets/d/11923uPwbBZFjjGgGUA6NLw09EwE0CqkOc4q9oUmW1yo/edit?usp=sharing"",""เพชรบูรณ์!M352"")"),151472)</f>
        <v>151472</v>
      </c>
      <c r="O457" s="168">
        <f t="shared" ca="1" si="116"/>
        <v>35.162590302152395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IFERROR(__xludf.DUMMYFUNCTION("IMPORTRANGE(""https://docs.google.com/spreadsheets/d/11923uPwbBZFjjGgGUA6NLw09EwE0CqkOc4q9oUmW1yo/edit?usp=sharing"",""เพชรบูรณ์!M354"")"),151472)</f>
        <v>151472</v>
      </c>
      <c r="O459" s="168">
        <f t="shared" ca="1" si="116"/>
        <v>35.162590302152395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IFERROR(__xludf.DUMMYFUNCTION("IMPORTRANGE(""https://docs.google.com/spreadsheets/d/11923uPwbBZFjjGgGUA6NLw09EwE0CqkOc4q9oUmW1yo/edit?usp=sharing"",""เพชรบูรณ์!M358"")"),151472)</f>
        <v>151472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IFERROR(__xludf.DUMMYFUNCTION("IMPORTRANGE(""https://docs.google.com/spreadsheets/d/11923uPwbBZFjjGgGUA6NLw09EwE0CqkOc4q9oUmW1yo/edit?usp=sharing"",""เพชรบูรณ์!J359"")"),55710)</f>
        <v>55710</v>
      </c>
      <c r="K464" s="268">
        <f t="shared" ref="K464:K515" ca="1" si="117">IF(I464&gt;0,J464*100/I464,0)</f>
        <v>100.01077121930203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IFERROR(__xludf.DUMMYFUNCTION("IMPORTRANGE(""https://docs.google.com/spreadsheets/d/11923uPwbBZFjjGgGUA6NLw09EwE0CqkOc4q9oUmW1yo/edit?usp=sharing"",""เพชรบูรณ์!J376"")"),55710)</f>
        <v>55710</v>
      </c>
      <c r="K481" s="201">
        <f t="shared" ca="1" si="117"/>
        <v>100.01077121930203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IFERROR(__xludf.DUMMYFUNCTION("IMPORTRANGE(""https://docs.google.com/spreadsheets/d/11923uPwbBZFjjGgGUA6NLw09EwE0CqkOc4q9oUmW1yo/edit?usp=sharing"",""เพชรบูรณ์!J377"")"),3219)</f>
        <v>3219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IFERROR(__xludf.DUMMYFUNCTION("IMPORTRANGE(""https://docs.google.com/spreadsheets/d/11923uPwbBZFjjGgGUA6NLw09EwE0CqkOc4q9oUmW1yo/edit?usp=sharing"",""เพชรบูรณ์!J378"")"),45561)</f>
        <v>45561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IFERROR(__xludf.DUMMYFUNCTION("IMPORTRANGE(""https://docs.google.com/spreadsheets/d/11923uPwbBZFjjGgGUA6NLw09EwE0CqkOc4q9oUmW1yo/edit?usp=sharing"",""เพชรบูรณ์!J379"")"),2755)</f>
        <v>2755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IFERROR(__xludf.DUMMYFUNCTION("IMPORTRANGE(""https://docs.google.com/spreadsheets/d/11923uPwbBZFjjGgGUA6NLw09EwE0CqkOc4q9oUmW1yo/edit?usp=sharing"",""เพชรบูรณ์!J380"")"),90)</f>
        <v>90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IFERROR(__xludf.DUMMYFUNCTION("IMPORTRANGE(""https://docs.google.com/spreadsheets/d/11923uPwbBZFjjGgGUA6NLw09EwE0CqkOc4q9oUmW1yo/edit?usp=sharing"",""เพชรบูรณ์!J381"")"),4)</f>
        <v>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IFERROR(__xludf.DUMMYFUNCTION("IMPORTRANGE(""https://docs.google.com/spreadsheets/d/11923uPwbBZFjjGgGUA6NLw09EwE0CqkOc4q9oUmW1yo/edit?usp=sharing"",""เพชรบูรณ์!J382"")"),2071)</f>
        <v>2071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IFERROR(__xludf.DUMMYFUNCTION("IMPORTRANGE(""https://docs.google.com/spreadsheets/d/11923uPwbBZFjjGgGUA6NLw09EwE0CqkOc4q9oUmW1yo/edit?usp=sharing"",""เพชรบูรณ์!J383"")"),95)</f>
        <v>95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IFERROR(__xludf.DUMMYFUNCTION("IMPORTRANGE(""https://docs.google.com/spreadsheets/d/11923uPwbBZFjjGgGUA6NLw09EwE0CqkOc4q9oUmW1yo/edit?usp=sharing"",""เพชรบูรณ์!J384"")"),1847)</f>
        <v>1847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IFERROR(__xludf.DUMMYFUNCTION("IMPORTRANGE(""https://docs.google.com/spreadsheets/d/11923uPwbBZFjjGgGUA6NLw09EwE0CqkOc4q9oUmW1yo/edit?usp=sharing"",""เพชรบูรณ์!J385"")"),82)</f>
        <v>82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IFERROR(__xludf.DUMMYFUNCTION("IMPORTRANGE(""https://docs.google.com/spreadsheets/d/11923uPwbBZFjjGgGUA6NLw09EwE0CqkOc4q9oUmW1yo/edit?usp=sharing"",""เพชรบูรณ์!J386"")"),224)</f>
        <v>224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IFERROR(__xludf.DUMMYFUNCTION("IMPORTRANGE(""https://docs.google.com/spreadsheets/d/11923uPwbBZFjjGgGUA6NLw09EwE0CqkOc4q9oUmW1yo/edit?usp=sharing"",""เพชรบูรณ์!J387"")"),13)</f>
        <v>13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IFERROR(__xludf.DUMMYFUNCTION("IMPORTRANGE(""https://docs.google.com/spreadsheets/d/11923uPwbBZFjjGgGUA6NLw09EwE0CqkOc4q9oUmW1yo/edit?usp=sharing"",""เพชรบูรณ์!J388"")"),7988)</f>
        <v>7988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IFERROR(__xludf.DUMMYFUNCTION("IMPORTRANGE(""https://docs.google.com/spreadsheets/d/11923uPwbBZFjjGgGUA6NLw09EwE0CqkOc4q9oUmW1yo/edit?usp=sharing"",""เพชรบูรณ์!J389"")"),365)</f>
        <v>365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IFERROR(__xludf.DUMMYFUNCTION("IMPORTRANGE(""https://docs.google.com/spreadsheets/d/11923uPwbBZFjjGgGUA6NLw09EwE0CqkOc4q9oUmW1yo/edit?usp=sharing"",""เพชรบูรณ์!J392"")"),1523)</f>
        <v>1523</v>
      </c>
      <c r="K497" s="444">
        <f t="shared" ca="1" si="117"/>
        <v>45.476261570618092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IFERROR(__xludf.DUMMYFUNCTION("IMPORTRANGE(""https://docs.google.com/spreadsheets/d/11923uPwbBZFjjGgGUA6NLw09EwE0CqkOc4q9oUmW1yo/edit?usp=sharing"",""เพชรบูรณ์!J393"")"),1523)</f>
        <v>1523</v>
      </c>
      <c r="K498" s="201">
        <f t="shared" ca="1" si="117"/>
        <v>45.476261570618092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IFERROR(__xludf.DUMMYFUNCTION("IMPORTRANGE(""https://docs.google.com/spreadsheets/d/11923uPwbBZFjjGgGUA6NLw09EwE0CqkOc4q9oUmW1yo/edit?usp=sharing"",""เพชรบูรณ์!J394"")"),115)</f>
        <v>115</v>
      </c>
      <c r="K499" s="201">
        <f t="shared" ca="1" si="117"/>
        <v>40.92526690391459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IFERROR(__xludf.DUMMYFUNCTION("IMPORTRANGE(""https://docs.google.com/spreadsheets/d/11923uPwbBZFjjGgGUA6NLw09EwE0CqkOc4q9oUmW1yo/edit?usp=sharing"",""เพชรบูรณ์!J395"")"),1461)</f>
        <v>1461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IFERROR(__xludf.DUMMYFUNCTION("IMPORTRANGE(""https://docs.google.com/spreadsheets/d/11923uPwbBZFjjGgGUA6NLw09EwE0CqkOc4q9oUmW1yo/edit?usp=sharing"",""เพชรบูรณ์!J396"")"),109)</f>
        <v>109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IFERROR(__xludf.DUMMYFUNCTION("IMPORTRANGE(""https://docs.google.com/spreadsheets/d/11923uPwbBZFjjGgGUA6NLw09EwE0CqkOc4q9oUmW1yo/edit?usp=sharing"",""เพชรบูรณ์!J397"")"),1380)</f>
        <v>1380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IFERROR(__xludf.DUMMYFUNCTION("IMPORTRANGE(""https://docs.google.com/spreadsheets/d/11923uPwbBZFjjGgGUA6NLw09EwE0CqkOc4q9oUmW1yo/edit?usp=sharing"",""เพชรบูรณ์!J398"")"),102)</f>
        <v>102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IFERROR(__xludf.DUMMYFUNCTION("IMPORTRANGE(""https://docs.google.com/spreadsheets/d/11923uPwbBZFjjGgGUA6NLw09EwE0CqkOc4q9oUmW1yo/edit?usp=sharing"",""เพชรบูรณ์!J399"")"),81)</f>
        <v>81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IFERROR(__xludf.DUMMYFUNCTION("IMPORTRANGE(""https://docs.google.com/spreadsheets/d/11923uPwbBZFjjGgGUA6NLw09EwE0CqkOc4q9oUmW1yo/edit?usp=sharing"",""เพชรบูรณ์!J400"")"),7)</f>
        <v>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IFERROR(__xludf.DUMMYFUNCTION("IMPORTRANGE(""https://docs.google.com/spreadsheets/d/11923uPwbBZFjjGgGUA6NLw09EwE0CqkOc4q9oUmW1yo/edit?usp=sharing"",""เพชรบูรณ์!J403"")"),48)</f>
        <v>48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IFERROR(__xludf.DUMMYFUNCTION("IMPORTRANGE(""https://docs.google.com/spreadsheets/d/11923uPwbBZFjjGgGUA6NLw09EwE0CqkOc4q9oUmW1yo/edit?usp=sharing"",""เพชรบูรณ์!J404"")"),5)</f>
        <v>5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IFERROR(__xludf.DUMMYFUNCTION("IMPORTRANGE(""https://docs.google.com/spreadsheets/d/11923uPwbBZFjjGgGUA6NLw09EwE0CqkOc4q9oUmW1yo/edit?usp=sharing"",""เพชรบูรณ์!J405"")"),48)</f>
        <v>48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IFERROR(__xludf.DUMMYFUNCTION("IMPORTRANGE(""https://docs.google.com/spreadsheets/d/11923uPwbBZFjjGgGUA6NLw09EwE0CqkOc4q9oUmW1yo/edit?usp=sharing"",""เพชรบูรณ์!J406"")"),5)</f>
        <v>5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IFERROR(__xludf.DUMMYFUNCTION("IMPORTRANGE(""https://docs.google.com/spreadsheets/d/11923uPwbBZFjjGgGUA6NLw09EwE0CqkOc4q9oUmW1yo/edit?usp=sharing"",""เพชรบูรณ์!J420"")"),1090)</f>
        <v>1090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IFERROR(__xludf.DUMMYFUNCTION("IMPORTRANGE(""https://docs.google.com/spreadsheets/d/11923uPwbBZFjjGgGUA6NLw09EwE0CqkOc4q9oUmW1yo/edit?usp=sharing"",""เพชรบูรณ์!J421"")"),42)</f>
        <v>42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IFERROR(__xludf.DUMMYFUNCTION("IMPORTRANGE(""https://docs.google.com/spreadsheets/d/11923uPwbBZFjjGgGUA6NLw09EwE0CqkOc4q9oUmW1yo/edit?usp=sharing"",""เพชรบูรณ์!J422"")"),420.5)</f>
        <v>420.5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IFERROR(__xludf.DUMMYFUNCTION("IMPORTRANGE(""https://docs.google.com/spreadsheets/d/11923uPwbBZFjjGgGUA6NLw09EwE0CqkOc4q9oUmW1yo/edit?usp=sharing"",""เพชรบูรณ์!J423"")"),10)</f>
        <v>10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IFERROR(__xludf.DUMMYFUNCTION("IMPORTRANGE(""https://docs.google.com/spreadsheets/d/11923uPwbBZFjjGgGUA6NLw09EwE0CqkOc4q9oUmW1yo/edit?usp=sharing"",""เพชรบูรณ์!J424"")"),619.5)</f>
        <v>619.5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IFERROR(__xludf.DUMMYFUNCTION("IMPORTRANGE(""https://docs.google.com/spreadsheets/d/11923uPwbBZFjjGgGUA6NLw09EwE0CqkOc4q9oUmW1yo/edit?usp=sharing"",""เพชรบูรณ์!J425"")"),31)</f>
        <v>31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IFERROR(__xludf.DUMMYFUNCTION("IMPORTRANGE(""https://docs.google.com/spreadsheets/d/11923uPwbBZFjjGgGUA6NLw09EwE0CqkOc4q9oUmW1yo/edit?usp=sharing"",""เพชรบูรณ์!J426"")"),50)</f>
        <v>50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IFERROR(__xludf.DUMMYFUNCTION("IMPORTRANGE(""https://docs.google.com/spreadsheets/d/11923uPwbBZFjjGgGUA6NLw09EwE0CqkOc4q9oUmW1yo/edit?usp=sharing"",""เพชรบูรณ์!M428"")"),25781)</f>
        <v>25781</v>
      </c>
      <c r="O533" s="411">
        <f t="shared" ref="O533:O537" ca="1" si="118">+IF(L533&gt;0,N533*100/L533,0)</f>
        <v>75.075713453698313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IFERROR(__xludf.DUMMYFUNCTION("IMPORTRANGE(""https://docs.google.com/spreadsheets/d/11923uPwbBZFjjGgGUA6NLw09EwE0CqkOc4q9oUmW1yo/edit?usp=sharing"",""เพชรบูรณ์!M430"")"),25781)</f>
        <v>25781</v>
      </c>
      <c r="O535" s="168">
        <f t="shared" ca="1" si="118"/>
        <v>75.075713453698313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IFERROR(__xludf.DUMMYFUNCTION("IMPORTRANGE(""https://docs.google.com/spreadsheets/d/11923uPwbBZFjjGgGUA6NLw09EwE0CqkOc4q9oUmW1yo/edit?usp=sharing"",""เพชรบูรณ์!M432"")"),25781)</f>
        <v>25781</v>
      </c>
      <c r="O537" s="168">
        <f t="shared" ca="1" si="118"/>
        <v>75.075713453698313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IFERROR(__xludf.DUMMYFUNCTION("IMPORTRANGE(""https://docs.google.com/spreadsheets/d/11923uPwbBZFjjGgGUA6NLw09EwE0CqkOc4q9oUmW1yo/edit?usp=sharing"",""เพชรบูรณ์!M436"")"),8620)</f>
        <v>8620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IFERROR(__xludf.DUMMYFUNCTION("IMPORTRANGE(""https://docs.google.com/spreadsheets/d/11923uPwbBZFjjGgGUA6NLw09EwE0CqkOc4q9oUmW1yo/edit?usp=sharing"",""เพชรบูรณ์!J459"")"),10192)</f>
        <v>10192</v>
      </c>
      <c r="K564" s="371">
        <f ca="1">IF(I564&gt;0,J564*100/I564,0)</f>
        <v>264.72727272727275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IFERROR(__xludf.DUMMYFUNCTION("IMPORTRANGE(""https://docs.google.com/spreadsheets/d/11923uPwbBZFjjGgGUA6NLw09EwE0CqkOc4q9oUmW1yo/edit?usp=sharing"",""เพชรบูรณ์!M459"")"),132722.46)</f>
        <v>132722.46</v>
      </c>
      <c r="O564" s="372">
        <f t="shared" ref="O564:O568" ca="1" si="122">+IF(L564&gt;0,N564*100/L564,0)</f>
        <v>84.429045801526712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IFERROR(__xludf.DUMMYFUNCTION("IMPORTRANGE(""https://docs.google.com/spreadsheets/d/11923uPwbBZFjjGgGUA6NLw09EwE0CqkOc4q9oUmW1yo/edit?usp=sharing"",""เพชรบูรณ์!M461"")"),132722.46)</f>
        <v>132722.46</v>
      </c>
      <c r="O566" s="168">
        <f t="shared" ca="1" si="122"/>
        <v>84.429045801526712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IFERROR(__xludf.DUMMYFUNCTION("IMPORTRANGE(""https://docs.google.com/spreadsheets/d/11923uPwbBZFjjGgGUA6NLw09EwE0CqkOc4q9oUmW1yo/edit?usp=sharing"",""เพชรบูรณ์!M463"")"),132722.46)</f>
        <v>132722.46</v>
      </c>
      <c r="O568" s="168">
        <f t="shared" ca="1" si="122"/>
        <v>84.429045801526712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IFERROR(__xludf.DUMMYFUNCTION("IMPORTRANGE(""https://docs.google.com/spreadsheets/d/11923uPwbBZFjjGgGUA6NLw09EwE0CqkOc4q9oUmW1yo/edit?usp=sharing"",""เพชรบูรณ์!M466"")"),94914)</f>
        <v>94914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IFERROR(__xludf.DUMMYFUNCTION("IMPORTRANGE(""https://docs.google.com/spreadsheets/d/11923uPwbBZFjjGgGUA6NLw09EwE0CqkOc4q9oUmW1yo/edit?usp=sharing"",""เพชรบูรณ์!M467"")"),37808.46)</f>
        <v>37808.46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IFERROR(__xludf.DUMMYFUNCTION("IMPORTRANGE(""https://docs.google.com/spreadsheets/d/11923uPwbBZFjjGgGUA6NLw09EwE0CqkOc4q9oUmW1yo/edit?usp=sharing"",""เพชรบูรณ์!J468"")"),10192)</f>
        <v>10192</v>
      </c>
      <c r="K573" s="201">
        <f ca="1">IF(I573&gt;0,J573*100/I573,0)</f>
        <v>264.72727272727275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IFERROR(__xludf.DUMMYFUNCTION("IMPORTRANGE(""https://docs.google.com/spreadsheets/d/11923uPwbBZFjjGgGUA6NLw09EwE0CqkOc4q9oUmW1yo/edit?usp=sharing"",""เพชรบูรณ์!J471"")"),803)</f>
        <v>803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IFERROR(__xludf.DUMMYFUNCTION("IMPORTRANGE(""https://docs.google.com/spreadsheets/d/11923uPwbBZFjjGgGUA6NLw09EwE0CqkOc4q9oUmW1yo/edit?usp=sharing"",""เพชรบูรณ์!J472"")"),8945)</f>
        <v>8945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IFERROR(__xludf.DUMMYFUNCTION("IMPORTRANGE(""https://docs.google.com/spreadsheets/d/11923uPwbBZFjjGgGUA6NLw09EwE0CqkOc4q9oUmW1yo/edit?usp=sharing"",""เพชรบูรณ์!J473"")"),43)</f>
        <v>43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IFERROR(__xludf.DUMMYFUNCTION("IMPORTRANGE(""https://docs.google.com/spreadsheets/d/11923uPwbBZFjjGgGUA6NLw09EwE0CqkOc4q9oUmW1yo/edit?usp=sharing"",""เพชรบูรณ์!J474"")"),401)</f>
        <v>401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IFERROR(__xludf.DUMMYFUNCTION("IMPORTRANGE(""https://docs.google.com/spreadsheets/d/11923uPwbBZFjjGgGUA6NLw09EwE0CqkOc4q9oUmW1yo/edit?usp=sharing"",""เพชรบูรณ์!I475"")"),150)</f>
        <v>150</v>
      </c>
      <c r="J580" s="370">
        <f ca="1">IFERROR(__xludf.DUMMYFUNCTION("IMPORTRANGE(""https://docs.google.com/spreadsheets/d/11923uPwbBZFjjGgGUA6NLw09EwE0CqkOc4q9oUmW1yo/edit?usp=sharing"",""เพชรบูรณ์!J475"")"),113)</f>
        <v>113</v>
      </c>
      <c r="K580" s="371">
        <f ca="1">IF(I580&gt;0,J580*100/I580,0)</f>
        <v>75.333333333333329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IFERROR(__xludf.DUMMYFUNCTION("IMPORTRANGE(""https://docs.google.com/spreadsheets/d/11923uPwbBZFjjGgGUA6NLw09EwE0CqkOc4q9oUmW1yo/edit?usp=sharing"",""เพชรบูรณ์!M475"")"),218002)</f>
        <v>218002</v>
      </c>
      <c r="O580" s="372">
        <f t="shared" ref="O580:O584" ca="1" si="124">+IF(L580&gt;0,N580*100/L580,0)</f>
        <v>62.833837728779365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IFERROR(__xludf.DUMMYFUNCTION("IMPORTRANGE(""https://docs.google.com/spreadsheets/d/11923uPwbBZFjjGgGUA6NLw09EwE0CqkOc4q9oUmW1yo/edit?usp=sharing"",""เพชรบูรณ์!M477"")"),218002)</f>
        <v>218002</v>
      </c>
      <c r="O582" s="168">
        <f t="shared" ca="1" si="124"/>
        <v>62.833837728779365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IFERROR(__xludf.DUMMYFUNCTION("IMPORTRANGE(""https://docs.google.com/spreadsheets/d/11923uPwbBZFjjGgGUA6NLw09EwE0CqkOc4q9oUmW1yo/edit?usp=sharing"",""เพชรบูรณ์!M479"")"),218002)</f>
        <v>218002</v>
      </c>
      <c r="O584" s="168">
        <f t="shared" ca="1" si="124"/>
        <v>62.833837728779365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IFERROR(__xludf.DUMMYFUNCTION("IMPORTRANGE(""https://docs.google.com/spreadsheets/d/11923uPwbBZFjjGgGUA6NLw09EwE0CqkOc4q9oUmW1yo/edit?usp=sharing"",""เพชรบูรณ์!M482"")"),70026)</f>
        <v>70026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IFERROR(__xludf.DUMMYFUNCTION("IMPORTRANGE(""https://docs.google.com/spreadsheets/d/11923uPwbBZFjjGgGUA6NLw09EwE0CqkOc4q9oUmW1yo/edit?usp=sharing"",""เพชรบูรณ์!M483"")"),147976)</f>
        <v>147976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IFERROR(__xludf.DUMMYFUNCTION("IMPORTRANGE(""https://docs.google.com/spreadsheets/d/11923uPwbBZFjjGgGUA6NLw09EwE0CqkOc4q9oUmW1yo/edit?usp=sharing"",""เพชรบูรณ์!I484"")"),150)</f>
        <v>150</v>
      </c>
      <c r="J589" s="187">
        <f ca="1">IFERROR(__xludf.DUMMYFUNCTION("IMPORTRANGE(""https://docs.google.com/spreadsheets/d/11923uPwbBZFjjGgGUA6NLw09EwE0CqkOc4q9oUmW1yo/edit?usp=sharing"",""เพชรบูรณ์!J484"")"),100)</f>
        <v>100</v>
      </c>
      <c r="K589" s="163">
        <f t="shared" ref="K589:K596" ca="1" si="125">IF(I589&gt;0,J589*100/I589,0)</f>
        <v>66.666666666666671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IFERROR(__xludf.DUMMYFUNCTION("IMPORTRANGE(""https://docs.google.com/spreadsheets/d/11923uPwbBZFjjGgGUA6NLw09EwE0CqkOc4q9oUmW1yo/edit?usp=sharing"",""เพชรบูรณ์!J485"")"),66.41)</f>
        <v>66.41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IFERROR(__xludf.DUMMYFUNCTION("IMPORTRANGE(""https://docs.google.com/spreadsheets/d/11923uPwbBZFjjGgGUA6NLw09EwE0CqkOc4q9oUmW1yo/edit?usp=sharing"",""เพชรบูรณ์!I486"")"),150)</f>
        <v>150</v>
      </c>
      <c r="J591" s="187">
        <f ca="1">IFERROR(__xludf.DUMMYFUNCTION("IMPORTRANGE(""https://docs.google.com/spreadsheets/d/11923uPwbBZFjjGgGUA6NLw09EwE0CqkOc4q9oUmW1yo/edit?usp=sharing"",""เพชรบูรณ์!J486"")"),146)</f>
        <v>146</v>
      </c>
      <c r="K591" s="163">
        <f t="shared" ca="1" si="125"/>
        <v>97.333333333333329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IFERROR(__xludf.DUMMYFUNCTION("IMPORTRANGE(""https://docs.google.com/spreadsheets/d/11923uPwbBZFjjGgGUA6NLw09EwE0CqkOc4q9oUmW1yo/edit?usp=sharing"",""เพชรบูรณ์!J487"")"),86.83)</f>
        <v>86.83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IFERROR(__xludf.DUMMYFUNCTION("IMPORTRANGE(""https://docs.google.com/spreadsheets/d/11923uPwbBZFjjGgGUA6NLw09EwE0CqkOc4q9oUmW1yo/edit?usp=sharing"",""เพชรบูรณ์!I488"")"),150)</f>
        <v>150</v>
      </c>
      <c r="J593" s="187">
        <f ca="1">IFERROR(__xludf.DUMMYFUNCTION("IMPORTRANGE(""https://docs.google.com/spreadsheets/d/11923uPwbBZFjjGgGUA6NLw09EwE0CqkOc4q9oUmW1yo/edit?usp=sharing"",""เพชรบูรณ์!J488"")"),96)</f>
        <v>96</v>
      </c>
      <c r="K593" s="163">
        <f t="shared" ca="1" si="125"/>
        <v>64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IFERROR(__xludf.DUMMYFUNCTION("IMPORTRANGE(""https://docs.google.com/spreadsheets/d/11923uPwbBZFjjGgGUA6NLw09EwE0CqkOc4q9oUmW1yo/edit?usp=sharing"",""เพชรบูรณ์!J489"")"),47.3)</f>
        <v>47.3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IFERROR(__xludf.DUMMYFUNCTION("IMPORTRANGE(""https://docs.google.com/spreadsheets/d/11923uPwbBZFjjGgGUA6NLw09EwE0CqkOc4q9oUmW1yo/edit?usp=sharing"",""เพชรบูรณ์!I490"")"),150)</f>
        <v>150</v>
      </c>
      <c r="J595" s="187">
        <f ca="1">IFERROR(__xludf.DUMMYFUNCTION("IMPORTRANGE(""https://docs.google.com/spreadsheets/d/11923uPwbBZFjjGgGUA6NLw09EwE0CqkOc4q9oUmW1yo/edit?usp=sharing"",""เพชรบูรณ์!J490"")"),113)</f>
        <v>113</v>
      </c>
      <c r="K595" s="163">
        <f t="shared" ca="1" si="125"/>
        <v>75.333333333333329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IFERROR(__xludf.DUMMYFUNCTION("IMPORTRANGE(""https://docs.google.com/spreadsheets/d/11923uPwbBZFjjGgGUA6NLw09EwE0CqkOc4q9oUmW1yo/edit?usp=sharing"",""เพชรบูรณ์!J491"")"),54.38)</f>
        <v>54.38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8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IFERROR(__xludf.DUMMYFUNCTION("IMPORTRANGE(""https://docs.google.com/spreadsheets/d/11923uPwbBZFjjGgGUA6NLw09EwE0CqkOc4q9oUmW1yo/edit?usp=sharing"",""เพชรบูรณ์!L492"")"),7300)</f>
        <v>7300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6.1643835616438354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IFERROR(__xludf.DUMMYFUNCTION("IMPORTRANGE(""https://docs.google.com/spreadsheets/d/11923uPwbBZFjjGgGUA6NLw09EwE0CqkOc4q9oUmW1yo/edit?usp=sharing"",""เพชรบูรณ์!I523"")"),19794077.95)</f>
        <v>19794077.949999999</v>
      </c>
      <c r="J628" s="341">
        <f ca="1">IFERROR(__xludf.DUMMYFUNCTION("IMPORTRANGE(""https://docs.google.com/spreadsheets/d/11923uPwbBZFjjGgGUA6NLw09EwE0CqkOc4q9oUmW1yo/edit?usp=sharing"",""เพชรบูรณ์!J523"")"),10781766.61)</f>
        <v>10781766.609999999</v>
      </c>
      <c r="K628" s="342">
        <f t="shared" ref="K628:K635" ca="1" si="129">IF(I628&gt;0,J628*100/I628,0)</f>
        <v>54.469658234320534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IFERROR(__xludf.DUMMYFUNCTION("IMPORTRANGE(""https://docs.google.com/spreadsheets/d/11923uPwbBZFjjGgGUA6NLw09EwE0CqkOc4q9oUmW1yo/edit?usp=sharing"",""เพชรบูรณ์!J524"")"),345)</f>
        <v>345</v>
      </c>
      <c r="K629" s="342">
        <f t="shared" ca="1" si="129"/>
        <v>52.752293577981654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IFERROR(__xludf.DUMMYFUNCTION("IMPORTRANGE(""https://docs.google.com/spreadsheets/d/11923uPwbBZFjjGgGUA6NLw09EwE0CqkOc4q9oUmW1yo/edit?usp=sharing"",""เพชรบูรณ์!J525"")"),1476250.71)</f>
        <v>1476250.71</v>
      </c>
      <c r="K630" s="342">
        <f t="shared" ca="1" si="129"/>
        <v>5.2674375092441474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IFERROR(__xludf.DUMMYFUNCTION("IMPORTRANGE(""https://docs.google.com/spreadsheets/d/11923uPwbBZFjjGgGUA6NLw09EwE0CqkOc4q9oUmW1yo/edit?usp=sharing"",""เพชรบูรณ์!J526"")"),310)</f>
        <v>310</v>
      </c>
      <c r="K631" s="342">
        <f t="shared" ca="1" si="129"/>
        <v>30.126336248785229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IFERROR(__xludf.DUMMYFUNCTION("IMPORTRANGE(""https://docs.google.com/spreadsheets/d/11923uPwbBZFjjGgGUA6NLw09EwE0CqkOc4q9oUmW1yo/edit?usp=sharing"",""เพชรบูรณ์!J527"")"),514268.21)</f>
        <v>514268.21</v>
      </c>
      <c r="K632" s="342">
        <f t="shared" ca="1" si="129"/>
        <v>19.462768423608441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IFERROR(__xludf.DUMMYFUNCTION("IMPORTRANGE(""https://docs.google.com/spreadsheets/d/11923uPwbBZFjjGgGUA6NLw09EwE0CqkOc4q9oUmW1yo/edit?usp=sharing"",""เพชรบูรณ์!J528"")"),74)</f>
        <v>74</v>
      </c>
      <c r="K633" s="342">
        <f t="shared" ca="1" si="129"/>
        <v>55.639097744360903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IFERROR(__xludf.DUMMYFUNCTION("IMPORTRANGE(""https://docs.google.com/spreadsheets/d/11923uPwbBZFjjGgGUA6NLw09EwE0CqkOc4q9oUmW1yo/edit?usp=sharing"",""เพชรบูรณ์!J529"")"),10641000)</f>
        <v>10641000</v>
      </c>
      <c r="K634" s="342">
        <f t="shared" ca="1" si="129"/>
        <v>88.674999999999997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IFERROR(__xludf.DUMMYFUNCTION("IMPORTRANGE(""https://docs.google.com/spreadsheets/d/11923uPwbBZFjjGgGUA6NLw09EwE0CqkOc4q9oUmW1yo/edit?usp=sharing"",""เพชรบูรณ์!I530"")"),300)</f>
        <v>300</v>
      </c>
      <c r="J635" s="505">
        <f ca="1">IFERROR(__xludf.DUMMYFUNCTION("IMPORTRANGE(""https://docs.google.com/spreadsheets/d/11923uPwbBZFjjGgGUA6NLw09EwE0CqkOc4q9oUmW1yo/edit?usp=sharing"",""เพชรบูรณ์!J530"")"),312)</f>
        <v>312</v>
      </c>
      <c r="K635" s="487">
        <f t="shared" ca="1" si="129"/>
        <v>104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IFERROR(__xludf.DUMMYFUNCTION("IMPORTRANGE(""https://docs.google.com/spreadsheets/d/11923uPwbBZFjjGgGUA6NLw09EwE0CqkOc4q9oUmW1yo/edit?usp=sharing"",""เพชรบูรณ์!J541"")"),0)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IFERROR(__xludf.DUMMYFUNCTION("IMPORTRANGE(""https://docs.google.com/spreadsheets/d/11923uPwbBZFjjGgGUA6NLw09EwE0CqkOc4q9oUmW1yo/edit?usp=sharing"",""เพชรบูรณ์!J542"")"),0)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IFERROR(__xludf.DUMMYFUNCTION("IMPORTRANGE(""https://docs.google.com/spreadsheets/d/11923uPwbBZFjjGgGUA6NLw09EwE0CqkOc4q9oUmW1yo/edit?usp=sharing"",""เพชรบูรณ์!I543"")"),38)</f>
        <v>38</v>
      </c>
      <c r="J648" s="536">
        <f ca="1">IFERROR(__xludf.DUMMYFUNCTION("IMPORTRANGE(""https://docs.google.com/spreadsheets/d/11923uPwbBZFjjGgGUA6NLw09EwE0CqkOc4q9oUmW1yo/edit?usp=sharing"",""เพชรบูรณ์!J543"")"),0)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IFERROR(__xludf.DUMMYFUNCTION("IMPORTRANGE(""https://docs.google.com/spreadsheets/d/11923uPwbBZFjjGgGUA6NLw09EwE0CqkOc4q9oUmW1yo/edit?usp=sharing"",""เพชรบูรณ์!L543"")"),3040)</f>
        <v>3040</v>
      </c>
      <c r="M648" s="521"/>
      <c r="N648" s="538">
        <f ca="1">IFERROR(__xludf.DUMMYFUNCTION("IMPORTRANGE(""https://docs.google.com/spreadsheets/d/11923uPwbBZFjjGgGUA6NLw09EwE0CqkOc4q9oUmW1yo/edit?usp=sharing"",""เพชรบูรณ์!M543"")"),0)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IFERROR(__xludf.DUMMYFUNCTION("IMPORTRANGE(""https://docs.google.com/spreadsheets/d/11923uPwbBZFjjGgGUA6NLw09EwE0CqkOc4q9oUmW1yo/edit?usp=sharing"",""เพชรบูรณ์!I544"")"),4)</f>
        <v>4</v>
      </c>
      <c r="J649" s="536">
        <f ca="1">IFERROR(__xludf.DUMMYFUNCTION("IMPORTRANGE(""https://docs.google.com/spreadsheets/d/11923uPwbBZFjjGgGUA6NLw09EwE0CqkOc4q9oUmW1yo/edit?usp=sharing"",""เพชรบูรณ์!J544"")"),0)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IFERROR(__xludf.DUMMYFUNCTION("IMPORTRANGE(""https://docs.google.com/spreadsheets/d/11923uPwbBZFjjGgGUA6NLw09EwE0CqkOc4q9oUmW1yo/edit?usp=sharing"",""เพชรบูรณ์!L544"")"),480)</f>
        <v>480</v>
      </c>
      <c r="M649" s="521"/>
      <c r="N649" s="538">
        <f ca="1">IFERROR(__xludf.DUMMYFUNCTION("IMPORTRANGE(""https://docs.google.com/spreadsheets/d/11923uPwbBZFjjGgGUA6NLw09EwE0CqkOc4q9oUmW1yo/edit?usp=sharing"",""เพชรบูรณ์!M544"")"),0)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IFERROR(__xludf.DUMMYFUNCTION("IMPORTRANGE(""https://docs.google.com/spreadsheets/d/11923uPwbBZFjjGgGUA6NLw09EwE0CqkOc4q9oUmW1yo/edit?usp=sharing"",""เพชรบูรณ์!I545"")"),0)</f>
        <v>0</v>
      </c>
      <c r="J650" s="536">
        <f ca="1">IFERROR(__xludf.DUMMYFUNCTION("IMPORTRANGE(""https://docs.google.com/spreadsheets/d/11923uPwbBZFjjGgGUA6NLw09EwE0CqkOc4q9oUmW1yo/edit?usp=sharing"",""เพชรบูรณ์!J545"")"),0)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IFERROR(__xludf.DUMMYFUNCTION("IMPORTRANGE(""https://docs.google.com/spreadsheets/d/11923uPwbBZFjjGgGUA6NLw09EwE0CqkOc4q9oUmW1yo/edit?usp=sharing"",""เพชรบูรณ์!L545"")"),0)</f>
        <v>0</v>
      </c>
      <c r="M650" s="521"/>
      <c r="N650" s="538">
        <f ca="1">IFERROR(__xludf.DUMMYFUNCTION("IMPORTRANGE(""https://docs.google.com/spreadsheets/d/11923uPwbBZFjjGgGUA6NLw09EwE0CqkOc4q9oUmW1yo/edit?usp=sharing"",""เพชรบูรณ์!M545"")"),0)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IFERROR(__xludf.DUMMYFUNCTION("IMPORTRANGE(""https://docs.google.com/spreadsheets/d/11923uPwbBZFjjGgGUA6NLw09EwE0CqkOc4q9oUmW1yo/edit?usp=sharing"",""เพชรบูรณ์!I546"")"),0)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IFERROR(__xludf.DUMMYFUNCTION("IMPORTRANGE(""https://docs.google.com/spreadsheets/d/11923uPwbBZFjjGgGUA6NLw09EwE0CqkOc4q9oUmW1yo/edit?usp=sharing"",""เพชรบูรณ์!L546"")"),0)</f>
        <v>0</v>
      </c>
      <c r="M651" s="521"/>
      <c r="N651" s="538">
        <f ca="1">IFERROR(__xludf.DUMMYFUNCTION("IMPORTRANGE(""https://docs.google.com/spreadsheets/d/11923uPwbBZFjjGgGUA6NLw09EwE0CqkOc4q9oUmW1yo/edit?usp=sharing"",""เพชรบูรณ์!M546"")"),0)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IFERROR(__xludf.DUMMYFUNCTION("IMPORTRANGE(""https://docs.google.com/spreadsheets/d/11923uPwbBZFjjGgGUA6NLw09EwE0CqkOc4q9oUmW1yo/edit?usp=sharing"",""เพชรบูรณ์!J547"")"),0)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IFERROR(__xludf.DUMMYFUNCTION("IMPORTRANGE(""https://docs.google.com/spreadsheets/d/11923uPwbBZFjjGgGUA6NLw09EwE0CqkOc4q9oUmW1yo/edit?usp=sharing"",""เพชรบูรณ์!J548"")"),0)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IFERROR(__xludf.DUMMYFUNCTION("IMPORTRANGE(""https://docs.google.com/spreadsheets/d/11923uPwbBZFjjGgGUA6NLw09EwE0CqkOc4q9oUmW1yo/edit?usp=sharing"",""เพชรบูรณ์!J550"")"),0)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IFERROR(__xludf.DUMMYFUNCTION("IMPORTRANGE(""https://docs.google.com/spreadsheets/d/11923uPwbBZFjjGgGUA6NLw09EwE0CqkOc4q9oUmW1yo/edit?usp=sharing"",""เพชรบูรณ์!J551"")"),0)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IFERROR(__xludf.DUMMYFUNCTION("IMPORTRANGE(""https://docs.google.com/spreadsheets/d/11923uPwbBZFjjGgGUA6NLw09EwE0CqkOc4q9oUmW1yo/edit?usp=sharing"",""เพชรบูรณ์!J552"")"),0)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IFERROR(__xludf.DUMMYFUNCTION("IMPORTRANGE(""https://docs.google.com/spreadsheets/d/11923uPwbBZFjjGgGUA6NLw09EwE0CqkOc4q9oUmW1yo/edit?usp=sharing"",""เพชรบูรณ์!J553"")"),0)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IFERROR(__xludf.DUMMYFUNCTION("IMPORTRANGE(""https://docs.google.com/spreadsheets/d/11923uPwbBZFjjGgGUA6NLw09EwE0CqkOc4q9oUmW1yo/edit?usp=sharing"",""เพชรบูรณ์!J554"")"),0)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IFERROR(__xludf.DUMMYFUNCTION("IMPORTRANGE(""https://docs.google.com/spreadsheets/d/11923uPwbBZFjjGgGUA6NLw09EwE0CqkOc4q9oUmW1yo/edit?usp=sharing"",""เพชรบูรณ์!J555"")"),0)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IFERROR(__xludf.DUMMYFUNCTION("IMPORTRANGE(""https://docs.google.com/spreadsheets/d/11923uPwbBZFjjGgGUA6NLw09EwE0CqkOc4q9oUmW1yo/edit?usp=sharing"",""เพชรบูรณ์!J556"")"),0)</f>
        <v>0</v>
      </c>
      <c r="K661" s="537"/>
      <c r="L661" s="522">
        <f ca="1">IFERROR(__xludf.DUMMYFUNCTION("IMPORTRANGE(""https://docs.google.com/spreadsheets/d/11923uPwbBZFjjGgGUA6NLw09EwE0CqkOc4q9oUmW1yo/edit?usp=sharing"",""เพชรบูรณ์!L556"")"),0)</f>
        <v>0</v>
      </c>
      <c r="M661" s="521"/>
      <c r="N661" s="538">
        <f ca="1">IFERROR(__xludf.DUMMYFUNCTION("IMPORTRANGE(""https://docs.google.com/spreadsheets/d/11923uPwbBZFjjGgGUA6NLw09EwE0CqkOc4q9oUmW1yo/edit?usp=sharing"",""เพชรบูรณ์!M556"")"),0)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IFERROR(__xludf.DUMMYFUNCTION("IMPORTRANGE(""https://docs.google.com/spreadsheets/d/11923uPwbBZFjjGgGUA6NLw09EwE0CqkOc4q9oUmW1yo/edit?usp=sharing"",""เพชรบูรณ์!J557"")"),0)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IFERROR(__xludf.DUMMYFUNCTION("IMPORTRANGE(""https://docs.google.com/spreadsheets/d/11923uPwbBZFjjGgGUA6NLw09EwE0CqkOc4q9oUmW1yo/edit?usp=sharing"",""เพชรบูรณ์!I558"")"),0)</f>
        <v>0</v>
      </c>
      <c r="J663" s="536">
        <f ca="1">IFERROR(__xludf.DUMMYFUNCTION("IMPORTRANGE(""https://docs.google.com/spreadsheets/d/11923uPwbBZFjjGgGUA6NLw09EwE0CqkOc4q9oUmW1yo/edit?usp=sharing"",""เพชรบูรณ์!J558"")"),0)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IFERROR(__xludf.DUMMYFUNCTION("IMPORTRANGE(""https://docs.google.com/spreadsheets/d/11923uPwbBZFjjGgGUA6NLw09EwE0CqkOc4q9oUmW1yo/edit?usp=sharing"",""เพชรบูรณ์!I560"")"),3)</f>
        <v>3</v>
      </c>
      <c r="J665" s="536">
        <f ca="1">IFERROR(__xludf.DUMMYFUNCTION("IMPORTRANGE(""https://docs.google.com/spreadsheets/d/11923uPwbBZFjjGgGUA6NLw09EwE0CqkOc4q9oUmW1yo/edit?usp=sharing"",""เพชรบูรณ์!J560"")"),0)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IFERROR(__xludf.DUMMYFUNCTION("IMPORTRANGE(""https://docs.google.com/spreadsheets/d/11923uPwbBZFjjGgGUA6NLw09EwE0CqkOc4q9oUmW1yo/edit?usp=sharing"",""เพชรบูรณ์!L560"")"),360)</f>
        <v>360</v>
      </c>
      <c r="M665" s="521"/>
      <c r="N665" s="538">
        <f ca="1">IFERROR(__xludf.DUMMYFUNCTION("IMPORTRANGE(""https://docs.google.com/spreadsheets/d/11923uPwbBZFjjGgGUA6NLw09EwE0CqkOc4q9oUmW1yo/edit?usp=sharing"",""เพชรบูรณ์!M560"")"),0)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IFERROR(__xludf.DUMMYFUNCTION("IMPORTRANGE(""https://docs.google.com/spreadsheets/d/11923uPwbBZFjjGgGUA6NLw09EwE0CqkOc4q9oUmW1yo/edit?usp=sharing"",""เพชรบูรณ์!J561"")"),0)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IFERROR(__xludf.DUMMYFUNCTION("IMPORTRANGE(""https://docs.google.com/spreadsheets/d/11923uPwbBZFjjGgGUA6NLw09EwE0CqkOc4q9oUmW1yo/edit?usp=sharing"",""เพชรบูรณ์!J562"")"),0)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IFERROR(__xludf.DUMMYFUNCTION("IMPORTRANGE(""https://docs.google.com/spreadsheets/d/11923uPwbBZFjjGgGUA6NLw09EwE0CqkOc4q9oUmW1yo/edit?usp=sharing"",""เพชรบูรณ์!I563"")"),0)</f>
        <v>0</v>
      </c>
      <c r="J668" s="536">
        <f ca="1">IFERROR(__xludf.DUMMYFUNCTION("IMPORTRANGE(""https://docs.google.com/spreadsheets/d/11923uPwbBZFjjGgGUA6NLw09EwE0CqkOc4q9oUmW1yo/edit?usp=sharing"",""เพชรบูรณ์!J563"")"),0)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IFERROR(__xludf.DUMMYFUNCTION("IMPORTRANGE(""https://docs.google.com/spreadsheets/d/11923uPwbBZFjjGgGUA6NLw09EwE0CqkOc4q9oUmW1yo/edit?usp=sharing"",""เพชรบูรณ์!L563"")"),0)</f>
        <v>0</v>
      </c>
      <c r="M668" s="521"/>
      <c r="N668" s="538">
        <f ca="1">IFERROR(__xludf.DUMMYFUNCTION("IMPORTRANGE(""https://docs.google.com/spreadsheets/d/11923uPwbBZFjjGgGUA6NLw09EwE0CqkOc4q9oUmW1yo/edit?usp=sharing"",""เพชรบูรณ์!M563"")"),0)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IFERROR(__xludf.DUMMYFUNCTION("IMPORTRANGE(""https://docs.google.com/spreadsheets/d/11923uPwbBZFjjGgGUA6NLw09EwE0CqkOc4q9oUmW1yo/edit?usp=sharing"",""เพชรบูรณ์!J564"")"),0)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IFERROR(__xludf.DUMMYFUNCTION("IMPORTRANGE(""https://docs.google.com/spreadsheets/d/11923uPwbBZFjjGgGUA6NLw09EwE0CqkOc4q9oUmW1yo/edit?usp=sharing"",""เพชรบูรณ์!J565"")"),0)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IFERROR(__xludf.DUMMYFUNCTION("IMPORTRANGE(""https://docs.google.com/spreadsheets/d/11923uPwbBZFjjGgGUA6NLw09EwE0CqkOc4q9oUmW1yo/edit?usp=sharing"",""เพชรบูรณ์!I566"")"),0)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IFERROR(__xludf.DUMMYFUNCTION("IMPORTRANGE(""https://docs.google.com/spreadsheets/d/11923uPwbBZFjjGgGUA6NLw09EwE0CqkOc4q9oUmW1yo/edit?usp=sharing"",""เพชรบูรณ์!L566"")"),0)</f>
        <v>0</v>
      </c>
      <c r="M671" s="521"/>
      <c r="N671" s="538">
        <f ca="1">IFERROR(__xludf.DUMMYFUNCTION("IMPORTRANGE(""https://docs.google.com/spreadsheets/d/11923uPwbBZFjjGgGUA6NLw09EwE0CqkOc4q9oUmW1yo/edit?usp=sharing"",""เพชรบูรณ์!M566"")"),0)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IFERROR(__xludf.DUMMYFUNCTION("IMPORTRANGE(""https://docs.google.com/spreadsheets/d/11923uPwbBZFjjGgGUA6NLw09EwE0CqkOc4q9oUmW1yo/edit?usp=sharing"",""เพชรบูรณ์!J567"")"),0)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IFERROR(__xludf.DUMMYFUNCTION("IMPORTRANGE(""https://docs.google.com/spreadsheets/d/11923uPwbBZFjjGgGUA6NLw09EwE0CqkOc4q9oUmW1yo/edit?usp=sharing"",""เพชรบูรณ์!J568"")"),0)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IFERROR(__xludf.DUMMYFUNCTION("IMPORTRANGE(""https://docs.google.com/spreadsheets/d/11923uPwbBZFjjGgGUA6NLw09EwE0CqkOc4q9oUmW1yo/edit?usp=sharing"",""เพชรบูรณ์!J569"")"),0)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IFERROR(__xludf.DUMMYFUNCTION("IMPORTRANGE(""https://docs.google.com/spreadsheets/d/11923uPwbBZFjjGgGUA6NLw09EwE0CqkOc4q9oUmW1yo/edit?usp=sharing"",""เพชรบูรณ์!J570"")"),0)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IFERROR(__xludf.DUMMYFUNCTION("IMPORTRANGE(""https://docs.google.com/spreadsheets/d/11923uPwbBZFjjGgGUA6NLw09EwE0CqkOc4q9oUmW1yo/edit?usp=sharing"",""เพชรบูรณ์!J571"")"),0)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IFERROR(__xludf.DUMMYFUNCTION("IMPORTRANGE(""https://docs.google.com/spreadsheets/d/11923uPwbBZFjjGgGUA6NLw09EwE0CqkOc4q9oUmW1yo/edit?usp=sharing"",""เพชรบูรณ์!J572"")"),0)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15202697</v>
      </c>
      <c r="M8" s="23">
        <f t="shared" ca="1" si="0"/>
        <v>13387737</v>
      </c>
      <c r="N8" s="23">
        <f t="shared" ca="1" si="0"/>
        <v>13532359.119999999</v>
      </c>
      <c r="O8" s="22">
        <f t="shared" ref="O8:O16" ca="1" si="1">IF(L8&gt;0,N8*100/L8,0)</f>
        <v>89.012884490166442</v>
      </c>
      <c r="P8" s="22">
        <f t="shared" ref="P8:P16" ca="1" si="2">IF(M8&gt;0,N8*100/M8,0)</f>
        <v>101.08025814967831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15202697</v>
      </c>
      <c r="M10" s="30">
        <f t="shared" ca="1" si="4"/>
        <v>13387737</v>
      </c>
      <c r="N10" s="30">
        <f t="shared" ca="1" si="4"/>
        <v>13532359.119999999</v>
      </c>
      <c r="O10" s="29">
        <f t="shared" ca="1" si="1"/>
        <v>89.012884490166442</v>
      </c>
      <c r="P10" s="29">
        <f t="shared" ca="1" si="2"/>
        <v>101.08025814967831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4721387</v>
      </c>
      <c r="M12" s="39">
        <f t="shared" ca="1" si="6"/>
        <v>2906427</v>
      </c>
      <c r="N12" s="39">
        <f t="shared" ca="1" si="6"/>
        <v>3419983.26</v>
      </c>
      <c r="O12" s="39">
        <f t="shared" ca="1" si="1"/>
        <v>72.435986713226427</v>
      </c>
      <c r="P12" s="39">
        <f t="shared" ca="1" si="2"/>
        <v>117.66967689193639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1871100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2850287</v>
      </c>
      <c r="M14" s="39">
        <f t="shared" si="8"/>
        <v>0</v>
      </c>
      <c r="N14" s="39">
        <f t="shared" ca="1" si="8"/>
        <v>902911.45</v>
      </c>
      <c r="O14" s="39">
        <f t="shared" ca="1" si="1"/>
        <v>31.677913487308469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10481310</v>
      </c>
      <c r="M16" s="39">
        <f t="shared" ca="1" si="10"/>
        <v>10481310</v>
      </c>
      <c r="N16" s="39">
        <f t="shared" ca="1" si="10"/>
        <v>10112375.859999999</v>
      </c>
      <c r="O16" s="50">
        <f t="shared" ca="1" si="1"/>
        <v>96.480076059194886</v>
      </c>
      <c r="P16" s="50">
        <f t="shared" ca="1" si="2"/>
        <v>96.480076059194886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13337237</v>
      </c>
      <c r="M18" s="23">
        <f t="shared" ca="1" si="11"/>
        <v>13387737</v>
      </c>
      <c r="N18" s="23">
        <f t="shared" ca="1" si="11"/>
        <v>12629447.669999998</v>
      </c>
      <c r="O18" s="22">
        <f t="shared" ref="O18:O20" ca="1" si="12">IF(L18&gt;0,N18*100/L18,0)</f>
        <v>94.693133742768438</v>
      </c>
      <c r="P18" s="22">
        <f t="shared" ref="P18:P26" ca="1" si="13">IF(M18&gt;0,N18*100/M18,0)</f>
        <v>94.33594094356647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13337237</v>
      </c>
      <c r="M20" s="30">
        <f t="shared" ca="1" si="15"/>
        <v>13387737</v>
      </c>
      <c r="N20" s="30">
        <f t="shared" ca="1" si="15"/>
        <v>12629447.669999998</v>
      </c>
      <c r="O20" s="29">
        <f t="shared" ca="1" si="12"/>
        <v>94.693133742768438</v>
      </c>
      <c r="P20" s="29">
        <f t="shared" ca="1" si="13"/>
        <v>94.33594094356647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2855927</v>
      </c>
      <c r="M22" s="42">
        <f t="shared" ca="1" si="18"/>
        <v>2906427</v>
      </c>
      <c r="N22" s="39">
        <f t="shared" ca="1" si="18"/>
        <v>2517071.8099999996</v>
      </c>
      <c r="O22" s="39">
        <f t="shared" ca="1" si="17"/>
        <v>88.13501920742371</v>
      </c>
      <c r="P22" s="39">
        <f t="shared" ca="1" si="13"/>
        <v>86.603648053090609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1871100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984827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10481310</v>
      </c>
      <c r="M26" s="50">
        <f t="shared" ca="1" si="22"/>
        <v>10481310</v>
      </c>
      <c r="N26" s="50">
        <f t="shared" ca="1" si="22"/>
        <v>10112375.859999999</v>
      </c>
      <c r="O26" s="50">
        <f t="shared" ca="1" si="17"/>
        <v>96.480076059194886</v>
      </c>
      <c r="P26" s="50">
        <f t="shared" ca="1" si="13"/>
        <v>96.480076059194886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1865460</v>
      </c>
      <c r="M28" s="23">
        <f t="shared" si="23"/>
        <v>0</v>
      </c>
      <c r="N28" s="23">
        <f t="shared" ca="1" si="23"/>
        <v>902911.45</v>
      </c>
      <c r="O28" s="22">
        <f t="shared" ref="O28:O30" ca="1" si="24">IF(L28&gt;0,N28*100/L28,0)</f>
        <v>48.401544391195735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1865460</v>
      </c>
      <c r="M30" s="30">
        <f t="shared" si="27"/>
        <v>0</v>
      </c>
      <c r="N30" s="30">
        <f t="shared" ca="1" si="27"/>
        <v>902911.45</v>
      </c>
      <c r="O30" s="29">
        <f t="shared" ca="1" si="24"/>
        <v>48.401544391195735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1865460</v>
      </c>
      <c r="M32" s="39">
        <f t="shared" si="30"/>
        <v>0</v>
      </c>
      <c r="N32" s="39">
        <f t="shared" ca="1" si="30"/>
        <v>902911.45</v>
      </c>
      <c r="O32" s="39">
        <f t="shared" ca="1" si="29"/>
        <v>48.401544391195735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1865460</v>
      </c>
      <c r="M34" s="39">
        <f t="shared" si="32"/>
        <v>0</v>
      </c>
      <c r="N34" s="39">
        <f t="shared" ca="1" si="32"/>
        <v>902911.45</v>
      </c>
      <c r="O34" s="39">
        <f t="shared" ca="1" si="29"/>
        <v>48.401544391195735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13337237</v>
      </c>
      <c r="M37" s="55">
        <f t="shared" ca="1" si="33"/>
        <v>13387737</v>
      </c>
      <c r="N37" s="55">
        <f t="shared" ca="1" si="33"/>
        <v>12629447.67</v>
      </c>
      <c r="O37" s="56">
        <f t="shared" ca="1" si="29"/>
        <v>94.693133742768467</v>
      </c>
      <c r="P37" s="56">
        <f t="shared" ca="1" si="25"/>
        <v>94.335940943566484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7769200</v>
      </c>
      <c r="M41" s="79">
        <f t="shared" ca="1" si="34"/>
        <v>7769200</v>
      </c>
      <c r="N41" s="79">
        <f t="shared" ca="1" si="34"/>
        <v>7450600.6900000004</v>
      </c>
      <c r="O41" s="78">
        <f t="shared" ref="O41:O43" ca="1" si="35">IF(L41&gt;0,N41*100/L41,0)</f>
        <v>95.899200561190341</v>
      </c>
      <c r="P41" s="78">
        <f t="shared" ref="P41:P43" ca="1" si="36">IF(M41&gt;0,N41*100/M41,0)</f>
        <v>95.899200561190341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7769200</v>
      </c>
      <c r="M43" s="79">
        <f t="shared" ca="1" si="38"/>
        <v>7769200</v>
      </c>
      <c r="N43" s="79">
        <f t="shared" ca="1" si="38"/>
        <v>7450600.6900000004</v>
      </c>
      <c r="O43" s="78">
        <f t="shared" ca="1" si="35"/>
        <v>95.899200561190341</v>
      </c>
      <c r="P43" s="78">
        <f t="shared" ca="1" si="36"/>
        <v>95.899200561190341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610700</v>
      </c>
      <c r="M45" s="50">
        <f ca="1">IFERROR(__xludf.DUMMYFUNCTION("IMPORTRANGE(""https://docs.google.com/spreadsheets/d/1Yj_ptqi66GCucihVvJfMjLAmec39IyEx_6qawtMGysU/edit?usp=sharing"",""สบก!Q30"")"),610700)</f>
        <v>610700</v>
      </c>
      <c r="N45" s="50">
        <f ca="1">IFERROR(__xludf.DUMMYFUNCTION("IMPORTRANGE(""https://docs.google.com/spreadsheets/d/1Yj_ptqi66GCucihVvJfMjLAmec39IyEx_6qawtMGysU/edit?usp=sharing"",""สบก!R30"")"),548899.07)</f>
        <v>548899.06999999995</v>
      </c>
      <c r="O45" s="39">
        <f ca="1">IF(L45&gt;0,N45*100/L45,0)</f>
        <v>89.880312755853922</v>
      </c>
      <c r="P45" s="39">
        <f ca="1">IF(M45&gt;0,N45*100/M45,0)</f>
        <v>89.880312755853922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IFERROR(__xludf.DUMMYFUNCTION("IMPORTRANGE(""https://docs.google.com/spreadsheets/d/1Yj_ptqi66GCucihVvJfMjLAmec39IyEx_6qawtMGysU/edit?usp=sharing"",""สบก!M30"")"),610700)</f>
        <v>610700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IFERROR(__xludf.DUMMYFUNCTION("IMPORTRANGE(""https://docs.google.com/spreadsheets/d/1Yj_ptqi66GCucihVvJfMjLAmec39IyEx_6qawtMGysU/edit?usp=sharing"",""สบก!O30"")"),7158500)</f>
        <v>7158500</v>
      </c>
      <c r="M49" s="50">
        <f ca="1">L49</f>
        <v>7158500</v>
      </c>
      <c r="N49" s="50">
        <f ca="1">IFERROR(__xludf.DUMMYFUNCTION("IMPORTRANGE(""https://docs.google.com/spreadsheets/d/1Yj_ptqi66GCucihVvJfMjLAmec39IyEx_6qawtMGysU/edit?usp=sharing"",""สบก!S30"")"),6901701.62)</f>
        <v>6901701.6200000001</v>
      </c>
      <c r="O49" s="50">
        <f ca="1">IF(L49&gt;0,N49*100/L49,0)</f>
        <v>96.41267891318013</v>
      </c>
      <c r="P49" s="52">
        <f ca="1">IF(M49&gt;0,N49*100/M49,0)</f>
        <v>96.41267891318013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637200</v>
      </c>
      <c r="M53" s="121">
        <f t="shared" ca="1" si="39"/>
        <v>637200</v>
      </c>
      <c r="N53" s="121">
        <f t="shared" ca="1" si="39"/>
        <v>548600</v>
      </c>
      <c r="O53" s="120">
        <f t="shared" ref="O53:O55" ca="1" si="40">IF(L53&gt;0,N53*100/L53,0)</f>
        <v>86.095417451349661</v>
      </c>
      <c r="P53" s="120">
        <f t="shared" ref="P53:P55" ca="1" si="41">IF(M53&gt;0,N53*100/M53,0)</f>
        <v>86.095417451349661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637200</v>
      </c>
      <c r="M55" s="121">
        <f t="shared" ca="1" si="43"/>
        <v>637200</v>
      </c>
      <c r="N55" s="121">
        <f t="shared" ca="1" si="43"/>
        <v>548600</v>
      </c>
      <c r="O55" s="120">
        <f t="shared" ca="1" si="40"/>
        <v>86.095417451349661</v>
      </c>
      <c r="P55" s="120">
        <f t="shared" ca="1" si="41"/>
        <v>86.095417451349661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637200</v>
      </c>
      <c r="M57" s="50">
        <f ca="1">IFERROR(__xludf.DUMMYFUNCTION("IMPORTRANGE(""https://docs.google.com/spreadsheets/d/1Yj_ptqi66GCucihVvJfMjLAmec39IyEx_6qawtMGysU/edit?usp=sharing"",""สบก!Z30"")"),637200)</f>
        <v>637200</v>
      </c>
      <c r="N57" s="50">
        <f ca="1">IFERROR(__xludf.DUMMYFUNCTION("IMPORTRANGE(""https://docs.google.com/spreadsheets/d/1Yj_ptqi66GCucihVvJfMjLAmec39IyEx_6qawtMGysU/edit?usp=sharing"",""สบก!AA30"")"),548600)</f>
        <v>548600</v>
      </c>
      <c r="O57" s="39">
        <f ca="1">IF(L57&gt;0,N57*100/L57,0)</f>
        <v>86.095417451349661</v>
      </c>
      <c r="P57" s="39">
        <f ca="1">IF(M57&gt;0,N57*100/M57,0)</f>
        <v>86.095417451349661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IFERROR(__xludf.DUMMYFUNCTION("IMPORTRANGE(""https://docs.google.com/spreadsheets/d/1Yj_ptqi66GCucihVvJfMjLAmec39IyEx_6qawtMGysU/edit?usp=sharing"",""สบก!V30"")"),637200)</f>
        <v>637200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3128010</v>
      </c>
      <c r="M66" s="152">
        <f t="shared" ca="1" si="45"/>
        <v>3128010</v>
      </c>
      <c r="N66" s="152">
        <f t="shared" ca="1" si="45"/>
        <v>3015874.24</v>
      </c>
      <c r="O66" s="151">
        <f t="shared" ref="O66:O68" ca="1" si="46">IF(L66&gt;0,N66*100/L66,0)</f>
        <v>96.415108647350877</v>
      </c>
      <c r="P66" s="151">
        <f t="shared" ref="P66:P68" ca="1" si="47">IF(M66&gt;0,N66*100/M66,0)</f>
        <v>96.415108647350877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3128010</v>
      </c>
      <c r="M68" s="88">
        <f t="shared" ca="1" si="49"/>
        <v>3128010</v>
      </c>
      <c r="N68" s="88">
        <f t="shared" ca="1" si="49"/>
        <v>3015874.24</v>
      </c>
      <c r="O68" s="156">
        <f t="shared" ca="1" si="46"/>
        <v>96.415108647350877</v>
      </c>
      <c r="P68" s="156">
        <f t="shared" ca="1" si="47"/>
        <v>96.415108647350877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IFERROR(__xludf.DUMMYFUNCTION("IMPORTRANGE(""https://docs.google.com/spreadsheets/d/1Yj_ptqi66GCucihVvJfMjLAmec39IyEx_6qawtMGysU/edit?usp=sharing"",""สบก!AG30"")"),3128010)</f>
        <v>3128010</v>
      </c>
      <c r="M74" s="50">
        <f ca="1">L74</f>
        <v>3128010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96.415108647350877</v>
      </c>
      <c r="P74" s="50">
        <f ca="1">IF(M74&gt;0,N74*100/M74,0)</f>
        <v>96.415108647350877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298471</v>
      </c>
      <c r="O94" s="151">
        <f t="shared" ref="O94:O96" ca="1" si="53">IF(L94&gt;0,N94*100/L94,0)</f>
        <v>93.576310509154752</v>
      </c>
      <c r="P94" s="151">
        <f t="shared" ref="P94:P96" ca="1" si="54">IF(M94&gt;0,N94*100/M94,0)</f>
        <v>93.576310509154752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298471</v>
      </c>
      <c r="O96" s="156">
        <f t="shared" ca="1" si="53"/>
        <v>93.576310509154752</v>
      </c>
      <c r="P96" s="156">
        <f t="shared" ca="1" si="54"/>
        <v>93.576310509154752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IFERROR(__xludf.DUMMYFUNCTION("IMPORTRANGE(""https://docs.google.com/spreadsheets/d/1Yj_ptqi66GCucihVvJfMjLAmec39IyEx_6qawtMGysU/edit?usp=sharing"",""สบก!AS30"")"),113671)</f>
        <v>113671</v>
      </c>
      <c r="O98" s="168">
        <f ca="1">IF(L98&gt;0,N98*100/L98,0)</f>
        <v>84.727936791890286</v>
      </c>
      <c r="P98" s="168">
        <f ca="1">IF(M98&gt;0,N98*100/M98,0)</f>
        <v>84.727936791890286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91762</v>
      </c>
      <c r="M118" s="152">
        <f t="shared" ca="1" si="58"/>
        <v>91762</v>
      </c>
      <c r="N118" s="152">
        <f t="shared" ca="1" si="58"/>
        <v>74120</v>
      </c>
      <c r="O118" s="151">
        <f t="shared" ref="O118:O120" ca="1" si="59">IF(L118&gt;0,N118*100/L118,0)</f>
        <v>80.774176674440398</v>
      </c>
      <c r="P118" s="151">
        <f t="shared" ref="P118:P120" ca="1" si="60">IF(M118&gt;0,N118*100/M118,0)</f>
        <v>80.774176674440398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91762</v>
      </c>
      <c r="M120" s="88">
        <f t="shared" ca="1" si="62"/>
        <v>91762</v>
      </c>
      <c r="N120" s="88">
        <f t="shared" ca="1" si="62"/>
        <v>74120</v>
      </c>
      <c r="O120" s="156">
        <f t="shared" ca="1" si="59"/>
        <v>80.774176674440398</v>
      </c>
      <c r="P120" s="156">
        <f t="shared" ca="1" si="60"/>
        <v>80.774176674440398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91762</v>
      </c>
      <c r="M122" s="167">
        <f ca="1">IFERROR(__xludf.DUMMYFUNCTION("IMPORTRANGE(""https://docs.google.com/spreadsheets/d/1Yj_ptqi66GCucihVvJfMjLAmec39IyEx_6qawtMGysU/edit?usp=sharing"",""สบก!BA30"")"),91762)</f>
        <v>91762</v>
      </c>
      <c r="N122" s="168">
        <f ca="1">IFERROR(__xludf.DUMMYFUNCTION("IMPORTRANGE(""https://docs.google.com/spreadsheets/d/1Yj_ptqi66GCucihVvJfMjLAmec39IyEx_6qawtMGysU/edit?usp=sharing"",""สบก!BB30"")"),74120)</f>
        <v>74120</v>
      </c>
      <c r="O122" s="168">
        <f ca="1">IF(L122&gt;0,N122*100/L122,0)</f>
        <v>80.774176674440398</v>
      </c>
      <c r="P122" s="168">
        <f ca="1">IF(M122&gt;0,N122*100/M122,0)</f>
        <v>80.774176674440398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IFERROR(__xludf.DUMMYFUNCTION("IMPORTRANGE(""https://docs.google.com/spreadsheets/d/1Yj_ptqi66GCucihVvJfMjLAmec39IyEx_6qawtMGysU/edit?usp=sharing"",""สบก!AX30"")"),91762)</f>
        <v>91762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115100</v>
      </c>
      <c r="M140" s="152">
        <f t="shared" ca="1" si="64"/>
        <v>123100</v>
      </c>
      <c r="N140" s="152">
        <f t="shared" ca="1" si="64"/>
        <v>119350</v>
      </c>
      <c r="O140" s="151">
        <f t="shared" ref="O140:O142" ca="1" si="65">IF(L140&gt;0,N140*100/L140,0)</f>
        <v>103.69244135534318</v>
      </c>
      <c r="P140" s="151">
        <f t="shared" ref="P140:P142" ca="1" si="66">IF(M140&gt;0,N140*100/M140,0)</f>
        <v>96.953696181965881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115100</v>
      </c>
      <c r="M142" s="88">
        <f t="shared" ca="1" si="68"/>
        <v>123100</v>
      </c>
      <c r="N142" s="88">
        <f t="shared" ca="1" si="68"/>
        <v>119350</v>
      </c>
      <c r="O142" s="156">
        <f t="shared" ca="1" si="65"/>
        <v>103.69244135534318</v>
      </c>
      <c r="P142" s="156">
        <f t="shared" ca="1" si="66"/>
        <v>96.953696181965881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115100</v>
      </c>
      <c r="M144" s="167">
        <f ca="1">IFERROR(__xludf.DUMMYFUNCTION("IMPORTRANGE(""https://docs.google.com/spreadsheets/d/1Yj_ptqi66GCucihVvJfMjLAmec39IyEx_6qawtMGysU/edit?usp=sharing"",""สบก!BJ30"")"),123100)</f>
        <v>123100</v>
      </c>
      <c r="N144" s="168">
        <f ca="1">IFERROR(__xludf.DUMMYFUNCTION("IMPORTRANGE(""https://docs.google.com/spreadsheets/d/1Yj_ptqi66GCucihVvJfMjLAmec39IyEx_6qawtMGysU/edit?usp=sharing"",""สบก!BK30"")"),119350)</f>
        <v>119350</v>
      </c>
      <c r="O144" s="168">
        <f ca="1">IF(L144&gt;0,N144*100/L144,0)</f>
        <v>103.69244135534318</v>
      </c>
      <c r="P144" s="168">
        <f ca="1">IF(M144&gt;0,N144*100/M144,0)</f>
        <v>96.953696181965881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IFERROR(__xludf.DUMMYFUNCTION("IMPORTRANGE(""https://docs.google.com/spreadsheets/d/1Yj_ptqi66GCucihVvJfMjLAmec39IyEx_6qawtMGysU/edit?usp=sharing"",""สบก!BG30"")"),115100)</f>
        <v>115100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217000</v>
      </c>
      <c r="N250" s="152">
        <f t="shared" ca="1" si="77"/>
        <v>192298</v>
      </c>
      <c r="O250" s="151">
        <f t="shared" ref="O250:O252" ca="1" si="78">IF(L250&gt;0,N250*100/L250,0)</f>
        <v>88.616589861751152</v>
      </c>
      <c r="P250" s="151">
        <f t="shared" ref="P250:P252" ca="1" si="79">IF(M250&gt;0,N250*100/M250,0)</f>
        <v>88.616589861751152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217000</v>
      </c>
      <c r="N252" s="88">
        <f t="shared" ca="1" si="81"/>
        <v>192298</v>
      </c>
      <c r="O252" s="156">
        <f t="shared" ca="1" si="78"/>
        <v>88.616589861751152</v>
      </c>
      <c r="P252" s="156">
        <f t="shared" ca="1" si="79"/>
        <v>88.616589861751152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IFERROR(__xludf.DUMMYFUNCTION("IMPORTRANGE(""https://docs.google.com/spreadsheets/d/1Yj_ptqi66GCucihVvJfMjLAmec39IyEx_6qawtMGysU/edit?usp=sharing"",""สบก!CB30"")"),217000)</f>
        <v>217000</v>
      </c>
      <c r="N254" s="168">
        <f ca="1">IFERROR(__xludf.DUMMYFUNCTION("IMPORTRANGE(""https://docs.google.com/spreadsheets/d/1Yj_ptqi66GCucihVvJfMjLAmec39IyEx_6qawtMGysU/edit?usp=sharing"",""สบก!CC30"")"),192298)</f>
        <v>192298</v>
      </c>
      <c r="O254" s="168">
        <f ca="1">IF(L254&gt;0,N254*100/L254,0)</f>
        <v>88.616589861751152</v>
      </c>
      <c r="P254" s="168">
        <f ca="1">IF(M254&gt;0,N254*100/M254,0)</f>
        <v>88.616589861751152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205700</v>
      </c>
      <c r="N271" s="152">
        <f t="shared" ca="1" si="83"/>
        <v>156746.60999999999</v>
      </c>
      <c r="O271" s="151">
        <f t="shared" ref="O271:O273" ca="1" si="84">IF(L271&gt;0,N271*100/L271,0)</f>
        <v>76.201560525036456</v>
      </c>
      <c r="P271" s="151">
        <f t="shared" ref="P271:P273" ca="1" si="85">IF(M271&gt;0,N271*100/M271,0)</f>
        <v>76.201560525036456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205700</v>
      </c>
      <c r="N273" s="88">
        <f t="shared" ca="1" si="87"/>
        <v>156746.60999999999</v>
      </c>
      <c r="O273" s="156">
        <f t="shared" ca="1" si="84"/>
        <v>76.201560525036456</v>
      </c>
      <c r="P273" s="156">
        <f t="shared" ca="1" si="85"/>
        <v>76.201560525036456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IFERROR(__xludf.DUMMYFUNCTION("IMPORTRANGE(""https://docs.google.com/spreadsheets/d/1Yj_ptqi66GCucihVvJfMjLAmec39IyEx_6qawtMGysU/edit?usp=sharing"",""สบก!CK30"")"),205700)</f>
        <v>205700</v>
      </c>
      <c r="N275" s="168">
        <f ca="1">IFERROR(__xludf.DUMMYFUNCTION("IMPORTRANGE(""https://docs.google.com/spreadsheets/d/1Yj_ptqi66GCucihVvJfMjLAmec39IyEx_6qawtMGysU/edit?usp=sharing"",""สบก!CL30"")"),156746.61)</f>
        <v>156746.60999999999</v>
      </c>
      <c r="O275" s="168">
        <f ca="1">IF(L275&gt;0,N275*100/L275,0)</f>
        <v>76.201560525036456</v>
      </c>
      <c r="P275" s="168">
        <f ca="1">IF(M275&gt;0,N275*100/M275,0)</f>
        <v>76.201560525036456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IFERROR(__xludf.DUMMYFUNCTION("IMPORTRANGE(""https://docs.google.com/spreadsheets/d/11923uPwbBZFjjGgGUA6NLw09EwE0CqkOc4q9oUmW1yo/edit?usp=sharing"",""แพร่!J228"")"),645)</f>
        <v>645</v>
      </c>
      <c r="K328" s="317">
        <f ca="1">IF(I328&gt;0,J328*100/I328,0)</f>
        <v>179.16666666666666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833180</v>
      </c>
      <c r="M329" s="152">
        <f t="shared" ca="1" si="98"/>
        <v>875680</v>
      </c>
      <c r="N329" s="152">
        <f t="shared" ca="1" si="98"/>
        <v>752262.13</v>
      </c>
      <c r="O329" s="151">
        <f t="shared" ref="O329:O331" ca="1" si="99">IF(L329&gt;0,N329*100/L329,0)</f>
        <v>90.288068604623248</v>
      </c>
      <c r="P329" s="151">
        <f t="shared" ref="P329:P331" ca="1" si="100">IF(M329&gt;0,N329*100/M329,0)</f>
        <v>85.906053581216881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833180</v>
      </c>
      <c r="M331" s="88">
        <f t="shared" ca="1" si="102"/>
        <v>875680</v>
      </c>
      <c r="N331" s="88">
        <f t="shared" ca="1" si="102"/>
        <v>752262.13</v>
      </c>
      <c r="O331" s="156">
        <f t="shared" ca="1" si="99"/>
        <v>90.288068604623248</v>
      </c>
      <c r="P331" s="156">
        <f t="shared" ca="1" si="100"/>
        <v>85.906053581216881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IFERROR(__xludf.DUMMYFUNCTION("IMPORTRANGE(""https://docs.google.com/spreadsheets/d/1Yj_ptqi66GCucihVvJfMjLAmec39IyEx_6qawtMGysU/edit?usp=sharing"",""สบก!DL30"")"),865680)</f>
        <v>865680</v>
      </c>
      <c r="N333" s="168">
        <f ca="1">IFERROR(__xludf.DUMMYFUNCTION("IMPORTRANGE(""https://docs.google.com/spreadsheets/d/1Yj_ptqi66GCucihVvJfMjLAmec39IyEx_6qawtMGysU/edit?usp=sharing"",""สบก!DM30"")"),742262.13)</f>
        <v>742262.13</v>
      </c>
      <c r="O333" s="168">
        <f ca="1">IF(L333&gt;0,N333*100/L333,0)</f>
        <v>90.170087951602326</v>
      </c>
      <c r="P333" s="168">
        <f ca="1">IF(M333&gt;0,N333*100/M333,0)</f>
        <v>85.743245772109788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IFERROR(__xludf.DUMMYFUNCTION("IMPORTRANGE(""https://docs.google.com/spreadsheets/d/11923uPwbBZFjjGgGUA6NLw09EwE0CqkOc4q9oUmW1yo/edit?usp=sharing"",""แพร่!J234"")"),170)</f>
        <v>170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IFERROR(__xludf.DUMMYFUNCTION("IMPORTRANGE(""https://docs.google.com/spreadsheets/d/11923uPwbBZFjjGgGUA6NLw09EwE0CqkOc4q9oUmW1yo/edit?usp=sharing"",""แพร่!J235"")"),1237.6)</f>
        <v>1237.5999999999999</v>
      </c>
      <c r="K340" s="342">
        <f t="shared" ca="1" si="103"/>
        <v>95.199999999999989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IFERROR(__xludf.DUMMYFUNCTION("IMPORTRANGE(""https://docs.google.com/spreadsheets/d/11923uPwbBZFjjGgGUA6NLw09EwE0CqkOc4q9oUmW1yo/edit?usp=sharing"",""แพร่!J236"")"),701)</f>
        <v>701</v>
      </c>
      <c r="K341" s="342">
        <f t="shared" ca="1" si="103"/>
        <v>194.72222222222223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IFERROR(__xludf.DUMMYFUNCTION("IMPORTRANGE(""https://docs.google.com/spreadsheets/d/11923uPwbBZFjjGgGUA6NLw09EwE0CqkOc4q9oUmW1yo/edit?usp=sharing"",""แพร่!J237"")"),6365.6)</f>
        <v>6365.6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IFERROR(__xludf.DUMMYFUNCTION("IMPORTRANGE(""https://docs.google.com/spreadsheets/d/11923uPwbBZFjjGgGUA6NLw09EwE0CqkOc4q9oUmW1yo/edit?usp=sharing"",""แพร่!J240"")"),645)</f>
        <v>645</v>
      </c>
      <c r="K345" s="342">
        <f t="shared" ca="1" si="103"/>
        <v>179.16666666666666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IFERROR(__xludf.DUMMYFUNCTION("IMPORTRANGE(""https://docs.google.com/spreadsheets/d/11923uPwbBZFjjGgGUA6NLw09EwE0CqkOc4q9oUmW1yo/edit?usp=sharing"",""แพร่!J241"")"),5754.4)</f>
        <v>5754.4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IFERROR(__xludf.DUMMYFUNCTION("IMPORTRANGE(""https://docs.google.com/spreadsheets/d/11923uPwbBZFjjGgGUA6NLw09EwE0CqkOc4q9oUmW1yo/edit?usp=sharing"",""แพร่!L242"")"),1865460)</f>
        <v>1865460</v>
      </c>
      <c r="M347" s="357"/>
      <c r="N347" s="357">
        <f ca="1">IFERROR(__xludf.DUMMYFUNCTION("IMPORTRANGE(""https://docs.google.com/spreadsheets/d/11923uPwbBZFjjGgGUA6NLw09EwE0CqkOc4q9oUmW1yo/edit?usp=sharing"",""แพร่!M242"")"),902911.45)</f>
        <v>902911.45</v>
      </c>
      <c r="O347" s="357">
        <f ca="1">+IF(L347&gt;0,N347*100/L347,0)</f>
        <v>48.401544391195735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IFERROR(__xludf.DUMMYFUNCTION("IMPORTRANGE(""https://docs.google.com/spreadsheets/d/11923uPwbBZFjjGgGUA6NLw09EwE0CqkOc4q9oUmW1yo/edit?usp=sharing"",""แพร่!L244"")"),348030)</f>
        <v>348030</v>
      </c>
      <c r="M349" s="372"/>
      <c r="N349" s="372">
        <f ca="1">IFERROR(__xludf.DUMMYFUNCTION("IMPORTRANGE(""https://docs.google.com/spreadsheets/d/11923uPwbBZFjjGgGUA6NLw09EwE0CqkOc4q9oUmW1yo/edit?usp=sharing"",""แพร่!M244"")"),293936)</f>
        <v>293936</v>
      </c>
      <c r="O349" s="372">
        <f ca="1">+IF(L349&gt;0,N349*100/L349,0)</f>
        <v>84.45708703272706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IFERROR(__xludf.DUMMYFUNCTION("IMPORTRANGE(""https://docs.google.com/spreadsheets/d/11923uPwbBZFjjGgGUA6NLw09EwE0CqkOc4q9oUmW1yo/edit?usp=sharing"",""แพร่!M247"")"),293936)</f>
        <v>293936</v>
      </c>
      <c r="O352" s="165">
        <f t="shared" ca="1" si="105"/>
        <v>84.45708703272706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IFERROR(__xludf.DUMMYFUNCTION("IMPORTRANGE(""https://docs.google.com/spreadsheets/d/11923uPwbBZFjjGgGUA6NLw09EwE0CqkOc4q9oUmW1yo/edit?usp=sharing"",""แพร่!M249"")"),293936)</f>
        <v>293936</v>
      </c>
      <c r="O354" s="168">
        <f t="shared" ca="1" si="105"/>
        <v>84.45708703272706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IFERROR(__xludf.DUMMYFUNCTION("IMPORTRANGE(""https://docs.google.com/spreadsheets/d/11923uPwbBZFjjGgGUA6NLw09EwE0CqkOc4q9oUmW1yo/edit?usp=sharing"",""แพร่!M252"")"),77000)</f>
        <v>77000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IFERROR(__xludf.DUMMYFUNCTION("IMPORTRANGE(""https://docs.google.com/spreadsheets/d/11923uPwbBZFjjGgGUA6NLw09EwE0CqkOc4q9oUmW1yo/edit?usp=sharing"",""แพร่!M253"")"),56436)</f>
        <v>56436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IFERROR(__xludf.DUMMYFUNCTION("IMPORTRANGE(""https://docs.google.com/spreadsheets/d/11923uPwbBZFjjGgGUA6NLw09EwE0CqkOc4q9oUmW1yo/edit?usp=sharing"",""แพร่!M275"")"),273968.45)</f>
        <v>273968.45</v>
      </c>
      <c r="O380" s="372">
        <f ca="1">+IF(L380&gt;0,N380*100/L380,0)</f>
        <v>26.63715338544705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IFERROR(__xludf.DUMMYFUNCTION("IMPORTRANGE(""https://docs.google.com/spreadsheets/d/11923uPwbBZFjjGgGUA6NLw09EwE0CqkOc4q9oUmW1yo/edit?usp=sharing"",""แพร่!M278"")"),273968.45)</f>
        <v>273968.45</v>
      </c>
      <c r="O383" s="165">
        <f t="shared" ca="1" si="109"/>
        <v>26.63715338544705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IFERROR(__xludf.DUMMYFUNCTION("IMPORTRANGE(""https://docs.google.com/spreadsheets/d/11923uPwbBZFjjGgGUA6NLw09EwE0CqkOc4q9oUmW1yo/edit?usp=sharing"",""แพร่!M280"")"),273968.45)</f>
        <v>273968.45</v>
      </c>
      <c r="O385" s="168">
        <f t="shared" ca="1" si="109"/>
        <v>26.63715338544705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IFERROR(__xludf.DUMMYFUNCTION("IMPORTRANGE(""https://docs.google.com/spreadsheets/d/11923uPwbBZFjjGgGUA6NLw09EwE0CqkOc4q9oUmW1yo/edit?usp=sharing"",""แพร่!M283"")"),77000)</f>
        <v>77000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IFERROR(__xludf.DUMMYFUNCTION("IMPORTRANGE(""https://docs.google.com/spreadsheets/d/11923uPwbBZFjjGgGUA6NLw09EwE0CqkOc4q9oUmW1yo/edit?usp=sharing"",""แพร่!M284"")"),24540.45)</f>
        <v>24540.45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IFERROR(__xludf.DUMMYFUNCTION("IMPORTRANGE(""https://docs.google.com/spreadsheets/d/11923uPwbBZFjjGgGUA6NLw09EwE0CqkOc4q9oUmW1yo/edit?usp=sharing"",""แพร่!M296"")"),97945)</f>
        <v>97945</v>
      </c>
      <c r="O401" s="372">
        <f ca="1">+IF(L401&gt;0,N401*100/L401,0)</f>
        <v>72.541105021478302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IFERROR(__xludf.DUMMYFUNCTION("IMPORTRANGE(""https://docs.google.com/spreadsheets/d/11923uPwbBZFjjGgGUA6NLw09EwE0CqkOc4q9oUmW1yo/edit?usp=sharing"",""แพร่!M299"")"),97945)</f>
        <v>97945</v>
      </c>
      <c r="O404" s="168">
        <f t="shared" ca="1" si="112"/>
        <v>72.541105021478302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IFERROR(__xludf.DUMMYFUNCTION("IMPORTRANGE(""https://docs.google.com/spreadsheets/d/11923uPwbBZFjjGgGUA6NLw09EwE0CqkOc4q9oUmW1yo/edit?usp=sharing"",""แพร่!M301"")"),97945)</f>
        <v>97945</v>
      </c>
      <c r="O406" s="168">
        <f t="shared" ca="1" si="112"/>
        <v>72.541105021478302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IFERROR(__xludf.DUMMYFUNCTION("IMPORTRANGE(""https://docs.google.com/spreadsheets/d/11923uPwbBZFjjGgGUA6NLw09EwE0CqkOc4q9oUmW1yo/edit?usp=sharing"",""แพร่!M305"")"),22105)</f>
        <v>22105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IFERROR(__xludf.DUMMYFUNCTION("IMPORTRANGE(""https://docs.google.com/spreadsheets/d/11923uPwbBZFjjGgGUA6NLw09EwE0CqkOc4q9oUmW1yo/edit?usp=sharing"",""แพร่!M350"")"),44125)</f>
        <v>44125</v>
      </c>
      <c r="O455" s="372">
        <f t="shared" ref="O455:O459" ca="1" si="116">+IF(L455&gt;0,N455*100/L455,0)</f>
        <v>49.847492092182556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IFERROR(__xludf.DUMMYFUNCTION("IMPORTRANGE(""https://docs.google.com/spreadsheets/d/11923uPwbBZFjjGgGUA6NLw09EwE0CqkOc4q9oUmW1yo/edit?usp=sharing"",""แพร่!M352"")"),44125)</f>
        <v>44125</v>
      </c>
      <c r="O457" s="168">
        <f t="shared" ca="1" si="116"/>
        <v>49.847492092182556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IFERROR(__xludf.DUMMYFUNCTION("IMPORTRANGE(""https://docs.google.com/spreadsheets/d/11923uPwbBZFjjGgGUA6NLw09EwE0CqkOc4q9oUmW1yo/edit?usp=sharing"",""แพร่!M354"")"),44125)</f>
        <v>44125</v>
      </c>
      <c r="O459" s="168">
        <f t="shared" ca="1" si="116"/>
        <v>49.847492092182556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IFERROR(__xludf.DUMMYFUNCTION("IMPORTRANGE(""https://docs.google.com/spreadsheets/d/11923uPwbBZFjjGgGUA6NLw09EwE0CqkOc4q9oUmW1yo/edit?usp=sharing"",""แพร่!M358"")"),44125)</f>
        <v>44125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IFERROR(__xludf.DUMMYFUNCTION("IMPORTRANGE(""https://docs.google.com/spreadsheets/d/11923uPwbBZFjjGgGUA6NLw09EwE0CqkOc4q9oUmW1yo/edit?usp=sharing"",""แพร่!J360"")"),5091.99)</f>
        <v>5091.99</v>
      </c>
      <c r="K465" s="201">
        <f t="shared" ca="1" si="117"/>
        <v>99.999803613511389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IFERROR(__xludf.DUMMYFUNCTION("IMPORTRANGE(""https://docs.google.com/spreadsheets/d/11923uPwbBZFjjGgGUA6NLw09EwE0CqkOc4q9oUmW1yo/edit?usp=sharing"",""แพร่!J362"")"),3692)</f>
        <v>3692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IFERROR(__xludf.DUMMYFUNCTION("IMPORTRANGE(""https://docs.google.com/spreadsheets/d/11923uPwbBZFjjGgGUA6NLw09EwE0CqkOc4q9oUmW1yo/edit?usp=sharing"",""แพร่!J363"")"),859)</f>
        <v>859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IFERROR(__xludf.DUMMYFUNCTION("IMPORTRANGE(""https://docs.google.com/spreadsheets/d/11923uPwbBZFjjGgGUA6NLw09EwE0CqkOc4q9oUmW1yo/edit?usp=sharing"",""แพร่!J364"")"),1311)</f>
        <v>1311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IFERROR(__xludf.DUMMYFUNCTION("IMPORTRANGE(""https://docs.google.com/spreadsheets/d/11923uPwbBZFjjGgGUA6NLw09EwE0CqkOc4q9oUmW1yo/edit?usp=sharing"",""แพร่!J366"")"),88.99)</f>
        <v>88.99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IFERROR(__xludf.DUMMYFUNCTION("IMPORTRANGE(""https://docs.google.com/spreadsheets/d/11923uPwbBZFjjGgGUA6NLw09EwE0CqkOc4q9oUmW1yo/edit?usp=sharing"",""แพร่!J378"")"),3579)</f>
        <v>3579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IFERROR(__xludf.DUMMYFUNCTION("IMPORTRANGE(""https://docs.google.com/spreadsheets/d/11923uPwbBZFjjGgGUA6NLw09EwE0CqkOc4q9oUmW1yo/edit?usp=sharing"",""แพร่!J379"")"),848)</f>
        <v>848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IFERROR(__xludf.DUMMYFUNCTION("IMPORTRANGE(""https://docs.google.com/spreadsheets/d/11923uPwbBZFjjGgGUA6NLw09EwE0CqkOc4q9oUmW1yo/edit?usp=sharing"",""แพร่!J380"")"),1400)</f>
        <v>1400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IFERROR(__xludf.DUMMYFUNCTION("IMPORTRANGE(""https://docs.google.com/spreadsheets/d/11923uPwbBZFjjGgGUA6NLw09EwE0CqkOc4q9oUmW1yo/edit?usp=sharing"",""แพร่!J381"")"),313)</f>
        <v>313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IFERROR(__xludf.DUMMYFUNCTION("IMPORTRANGE(""https://docs.google.com/spreadsheets/d/11923uPwbBZFjjGgGUA6NLw09EwE0CqkOc4q9oUmW1yo/edit?usp=sharing"",""แพร่!J392"")"),112)</f>
        <v>112</v>
      </c>
      <c r="K497" s="444">
        <f t="shared" ca="1" si="117"/>
        <v>80.57553956834532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IFERROR(__xludf.DUMMYFUNCTION("IMPORTRANGE(""https://docs.google.com/spreadsheets/d/11923uPwbBZFjjGgGUA6NLw09EwE0CqkOc4q9oUmW1yo/edit?usp=sharing"",""แพร่!J393"")"),112)</f>
        <v>112</v>
      </c>
      <c r="K498" s="163">
        <f t="shared" ca="1" si="117"/>
        <v>80.57553956834532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IFERROR(__xludf.DUMMYFUNCTION("IMPORTRANGE(""https://docs.google.com/spreadsheets/d/11923uPwbBZFjjGgGUA6NLw09EwE0CqkOc4q9oUmW1yo/edit?usp=sharing"",""แพร่!J394"")"),22)</f>
        <v>22</v>
      </c>
      <c r="K499" s="201">
        <f t="shared" ca="1" si="117"/>
        <v>68.75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IFERROR(__xludf.DUMMYFUNCTION("IMPORTRANGE(""https://docs.google.com/spreadsheets/d/11923uPwbBZFjjGgGUA6NLw09EwE0CqkOc4q9oUmW1yo/edit?usp=sharing"",""แพร่!J395"")"),103)</f>
        <v>103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IFERROR(__xludf.DUMMYFUNCTION("IMPORTRANGE(""https://docs.google.com/spreadsheets/d/11923uPwbBZFjjGgGUA6NLw09EwE0CqkOc4q9oUmW1yo/edit?usp=sharing"",""แพร่!J396"")"),20)</f>
        <v>20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IFERROR(__xludf.DUMMYFUNCTION("IMPORTRANGE(""https://docs.google.com/spreadsheets/d/11923uPwbBZFjjGgGUA6NLw09EwE0CqkOc4q9oUmW1yo/edit?usp=sharing"",""แพร่!J397"")"),103)</f>
        <v>103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IFERROR(__xludf.DUMMYFUNCTION("IMPORTRANGE(""https://docs.google.com/spreadsheets/d/11923uPwbBZFjjGgGUA6NLw09EwE0CqkOc4q9oUmW1yo/edit?usp=sharing"",""แพร่!J403"")"),9)</f>
        <v>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IFERROR(__xludf.DUMMYFUNCTION("IMPORTRANGE(""https://docs.google.com/spreadsheets/d/11923uPwbBZFjjGgGUA6NLw09EwE0CqkOc4q9oUmW1yo/edit?usp=sharing"",""แพร่!J420"")"),13.89)</f>
        <v>13.89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IFERROR(__xludf.DUMMYFUNCTION("IMPORTRANGE(""https://docs.google.com/spreadsheets/d/11923uPwbBZFjjGgGUA6NLw09EwE0CqkOc4q9oUmW1yo/edit?usp=sharing"",""แพร่!J421"")"),5)</f>
        <v>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IFERROR(__xludf.DUMMYFUNCTION("IMPORTRANGE(""https://docs.google.com/spreadsheets/d/11923uPwbBZFjjGgGUA6NLw09EwE0CqkOc4q9oUmW1yo/edit?usp=sharing"",""แพร่!J422"")"),3.96)</f>
        <v>3.96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IFERROR(__xludf.DUMMYFUNCTION("IMPORTRANGE(""https://docs.google.com/spreadsheets/d/11923uPwbBZFjjGgGUA6NLw09EwE0CqkOc4q9oUmW1yo/edit?usp=sharing"",""แพร่!J424"")"),7.62)</f>
        <v>7.62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IFERROR(__xludf.DUMMYFUNCTION("IMPORTRANGE(""https://docs.google.com/spreadsheets/d/11923uPwbBZFjjGgGUA6NLw09EwE0CqkOc4q9oUmW1yo/edit?usp=sharing"",""แพร่!J426"")"),2.31)</f>
        <v>2.31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IFERROR(__xludf.DUMMYFUNCTION("IMPORTRANGE(""https://docs.google.com/spreadsheets/d/11923uPwbBZFjjGgGUA6NLw09EwE0CqkOc4q9oUmW1yo/edit?usp=sharing"",""แพร่!M428"")"),21672)</f>
        <v>21672</v>
      </c>
      <c r="O533" s="411">
        <f t="shared" ref="O533:O537" ca="1" si="118">+IF(L533&gt;0,N533*100/L533,0)</f>
        <v>63.110075713453696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IFERROR(__xludf.DUMMYFUNCTION("IMPORTRANGE(""https://docs.google.com/spreadsheets/d/11923uPwbBZFjjGgGUA6NLw09EwE0CqkOc4q9oUmW1yo/edit?usp=sharing"",""แพร่!M430"")"),21672)</f>
        <v>21672</v>
      </c>
      <c r="O535" s="168">
        <f t="shared" ca="1" si="118"/>
        <v>63.110075713453696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IFERROR(__xludf.DUMMYFUNCTION("IMPORTRANGE(""https://docs.google.com/spreadsheets/d/11923uPwbBZFjjGgGUA6NLw09EwE0CqkOc4q9oUmW1yo/edit?usp=sharing"",""แพร่!M432"")"),21672)</f>
        <v>21672</v>
      </c>
      <c r="O537" s="168">
        <f t="shared" ca="1" si="118"/>
        <v>63.110075713453696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IFERROR(__xludf.DUMMYFUNCTION("IMPORTRANGE(""https://docs.google.com/spreadsheets/d/11923uPwbBZFjjGgGUA6NLw09EwE0CqkOc4q9oUmW1yo/edit?usp=sharing"",""แพร่!M436"")"),3812)</f>
        <v>3812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IFERROR(__xludf.DUMMYFUNCTION("IMPORTRANGE(""https://docs.google.com/spreadsheets/d/11923uPwbBZFjjGgGUA6NLw09EwE0CqkOc4q9oUmW1yo/edit?usp=sharing"",""แพร่!J459"")"),3289)</f>
        <v>3289</v>
      </c>
      <c r="K564" s="371">
        <f ca="1">IF(I564&gt;0,J564*100/I564,0)</f>
        <v>274.08333333333331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IFERROR(__xludf.DUMMYFUNCTION("IMPORTRANGE(""https://docs.google.com/spreadsheets/d/11923uPwbBZFjjGgGUA6NLw09EwE0CqkOc4q9oUmW1yo/edit?usp=sharing"",""แพร่!M459"")"),70833)</f>
        <v>70833</v>
      </c>
      <c r="O564" s="372">
        <f t="shared" ref="O564:O568" ca="1" si="122">+IF(L564&gt;0,N564*100/L564,0)</f>
        <v>56.003320683111951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IFERROR(__xludf.DUMMYFUNCTION("IMPORTRANGE(""https://docs.google.com/spreadsheets/d/11923uPwbBZFjjGgGUA6NLw09EwE0CqkOc4q9oUmW1yo/edit?usp=sharing"",""แพร่!M461"")"),70833)</f>
        <v>70833</v>
      </c>
      <c r="O566" s="168">
        <f t="shared" ca="1" si="122"/>
        <v>56.003320683111951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IFERROR(__xludf.DUMMYFUNCTION("IMPORTRANGE(""https://docs.google.com/spreadsheets/d/11923uPwbBZFjjGgGUA6NLw09EwE0CqkOc4q9oUmW1yo/edit?usp=sharing"",""แพร่!M463"")"),70833)</f>
        <v>70833</v>
      </c>
      <c r="O568" s="168">
        <f t="shared" ca="1" si="122"/>
        <v>56.003320683111951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IFERROR(__xludf.DUMMYFUNCTION("IMPORTRANGE(""https://docs.google.com/spreadsheets/d/11923uPwbBZFjjGgGUA6NLw09EwE0CqkOc4q9oUmW1yo/edit?usp=sharing"",""แพร่!M466"")"),53899)</f>
        <v>53899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IFERROR(__xludf.DUMMYFUNCTION("IMPORTRANGE(""https://docs.google.com/spreadsheets/d/11923uPwbBZFjjGgGUA6NLw09EwE0CqkOc4q9oUmW1yo/edit?usp=sharing"",""แพร่!M467"")"),16934)</f>
        <v>16934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IFERROR(__xludf.DUMMYFUNCTION("IMPORTRANGE(""https://docs.google.com/spreadsheets/d/11923uPwbBZFjjGgGUA6NLw09EwE0CqkOc4q9oUmW1yo/edit?usp=sharing"",""แพร่!J468"")"),3289)</f>
        <v>3289</v>
      </c>
      <c r="K573" s="201">
        <f ca="1">IF(I573&gt;0,J573*100/I573,0)</f>
        <v>274.08333333333331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IFERROR(__xludf.DUMMYFUNCTION("IMPORTRANGE(""https://docs.google.com/spreadsheets/d/11923uPwbBZFjjGgGUA6NLw09EwE0CqkOc4q9oUmW1yo/edit?usp=sharing"",""แพร่!J471"")"),385)</f>
        <v>385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IFERROR(__xludf.DUMMYFUNCTION("IMPORTRANGE(""https://docs.google.com/spreadsheets/d/11923uPwbBZFjjGgGUA6NLw09EwE0CqkOc4q9oUmW1yo/edit?usp=sharing"",""แพร่!J472"")"),2900)</f>
        <v>2900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IFERROR(__xludf.DUMMYFUNCTION("IMPORTRANGE(""https://docs.google.com/spreadsheets/d/11923uPwbBZFjjGgGUA6NLw09EwE0CqkOc4q9oUmW1yo/edit?usp=sharing"",""แพร่!J475"")"),8)</f>
        <v>8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IFERROR(__xludf.DUMMYFUNCTION("IMPORTRANGE(""https://docs.google.com/spreadsheets/d/11923uPwbBZFjjGgGUA6NLw09EwE0CqkOc4q9oUmW1yo/edit?usp=sharing"",""แพร่!J486"")"),9)</f>
        <v>9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IFERROR(__xludf.DUMMYFUNCTION("IMPORTRANGE(""https://docs.google.com/spreadsheets/d/11923uPwbBZFjjGgGUA6NLw09EwE0CqkOc4q9oUmW1yo/edit?usp=sharing"",""แพร่!J487"")"),5.21)</f>
        <v>5.21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IFERROR(__xludf.DUMMYFUNCTION("IMPORTRANGE(""https://docs.google.com/spreadsheets/d/11923uPwbBZFjjGgGUA6NLw09EwE0CqkOc4q9oUmW1yo/edit?usp=sharing"",""แพร่!J490"")"),8)</f>
        <v>8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IFERROR(__xludf.DUMMYFUNCTION("IMPORTRANGE(""https://docs.google.com/spreadsheets/d/11923uPwbBZFjjGgGUA6NLw09EwE0CqkOc4q9oUmW1yo/edit?usp=sharing"",""แพร่!J491"")"),4.41)</f>
        <v>4.41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8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IFERROR(__xludf.DUMMYFUNCTION("IMPORTRANGE(""https://docs.google.com/spreadsheets/d/11923uPwbBZFjjGgGUA6NLw09EwE0CqkOc4q9oUmW1yo/edit?usp=sharing"",""แพร่!L492"")"),4550)</f>
        <v>4550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9.4945054945054945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IFERROR(__xludf.DUMMYFUNCTION("IMPORTRANGE(""https://docs.google.com/spreadsheets/d/11923uPwbBZFjjGgGUA6NLw09EwE0CqkOc4q9oUmW1yo/edit?usp=sharing"",""แพร่!J523"")"),3214400)</f>
        <v>3214400</v>
      </c>
      <c r="K628" s="342">
        <f t="shared" ref="K628:K635" ca="1" si="129">IF(I628&gt;0,J628*100/I628,0)</f>
        <v>92.367816091954026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IFERROR(__xludf.DUMMYFUNCTION("IMPORTRANGE(""https://docs.google.com/spreadsheets/d/11923uPwbBZFjjGgGUA6NLw09EwE0CqkOc4q9oUmW1yo/edit?usp=sharing"",""แพร่!J524"")"),149)</f>
        <v>149</v>
      </c>
      <c r="K629" s="342">
        <f t="shared" ca="1" si="129"/>
        <v>93.125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IFERROR(__xludf.DUMMYFUNCTION("IMPORTRANGE(""https://docs.google.com/spreadsheets/d/11923uPwbBZFjjGgGUA6NLw09EwE0CqkOc4q9oUmW1yo/edit?usp=sharing"",""แพร่!J525"")"),129651.06)</f>
        <v>129651.06</v>
      </c>
      <c r="K630" s="342">
        <f t="shared" ca="1" si="129"/>
        <v>19.522061088780337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IFERROR(__xludf.DUMMYFUNCTION("IMPORTRANGE(""https://docs.google.com/spreadsheets/d/11923uPwbBZFjjGgGUA6NLw09EwE0CqkOc4q9oUmW1yo/edit?usp=sharing"",""แพร่!J526"")"),51)</f>
        <v>51</v>
      </c>
      <c r="K631" s="342">
        <f t="shared" ca="1" si="129"/>
        <v>94.444444444444443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IFERROR(__xludf.DUMMYFUNCTION("IMPORTRANGE(""https://docs.google.com/spreadsheets/d/11923uPwbBZFjjGgGUA6NLw09EwE0CqkOc4q9oUmW1yo/edit?usp=sharing"",""แพร่!J527"")"),28503.34)</f>
        <v>28503.34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IFERROR(__xludf.DUMMYFUNCTION("IMPORTRANGE(""https://docs.google.com/spreadsheets/d/11923uPwbBZFjjGgGUA6NLw09EwE0CqkOc4q9oUmW1yo/edit?usp=sharing"",""แพร่!J528"")"),1)</f>
        <v>1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IFERROR(__xludf.DUMMYFUNCTION("IMPORTRANGE(""https://docs.google.com/spreadsheets/d/11923uPwbBZFjjGgGUA6NLw09EwE0CqkOc4q9oUmW1yo/edit?usp=sharing"",""แพร่!J529"")"),2975000)</f>
        <v>2975000</v>
      </c>
      <c r="K634" s="342">
        <f t="shared" ca="1" si="129"/>
        <v>85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IFERROR(__xludf.DUMMYFUNCTION("IMPORTRANGE(""https://docs.google.com/spreadsheets/d/11923uPwbBZFjjGgGUA6NLw09EwE0CqkOc4q9oUmW1yo/edit?usp=sharing"",""แพร่!I530"")"),140)</f>
        <v>140</v>
      </c>
      <c r="J635" s="505">
        <f ca="1">IFERROR(__xludf.DUMMYFUNCTION("IMPORTRANGE(""https://docs.google.com/spreadsheets/d/11923uPwbBZFjjGgGUA6NLw09EwE0CqkOc4q9oUmW1yo/edit?usp=sharing"",""แพร่!J530"")"),136)</f>
        <v>136</v>
      </c>
      <c r="K635" s="487">
        <f t="shared" ca="1" si="129"/>
        <v>97.142857142857139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IFERROR(__xludf.DUMMYFUNCTION("IMPORTRANGE(""https://docs.google.com/spreadsheets/d/11923uPwbBZFjjGgGUA6NLw09EwE0CqkOc4q9oUmW1yo/edit?usp=sharing"",""แพร่!J541"")"),0)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IFERROR(__xludf.DUMMYFUNCTION("IMPORTRANGE(""https://docs.google.com/spreadsheets/d/11923uPwbBZFjjGgGUA6NLw09EwE0CqkOc4q9oUmW1yo/edit?usp=sharing"",""แพร่!J542"")"),0)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IFERROR(__xludf.DUMMYFUNCTION("IMPORTRANGE(""https://docs.google.com/spreadsheets/d/11923uPwbBZFjjGgGUA6NLw09EwE0CqkOc4q9oUmW1yo/edit?usp=sharing"",""แพร่!I543"")"),0)</f>
        <v>0</v>
      </c>
      <c r="J648" s="536">
        <f ca="1">IFERROR(__xludf.DUMMYFUNCTION("IMPORTRANGE(""https://docs.google.com/spreadsheets/d/11923uPwbBZFjjGgGUA6NLw09EwE0CqkOc4q9oUmW1yo/edit?usp=sharing"",""แพร่!J543"")"),0)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IFERROR(__xludf.DUMMYFUNCTION("IMPORTRANGE(""https://docs.google.com/spreadsheets/d/11923uPwbBZFjjGgGUA6NLw09EwE0CqkOc4q9oUmW1yo/edit?usp=sharing"",""แพร่!L543"")"),0)</f>
        <v>0</v>
      </c>
      <c r="M648" s="521"/>
      <c r="N648" s="538">
        <f ca="1">IFERROR(__xludf.DUMMYFUNCTION("IMPORTRANGE(""https://docs.google.com/spreadsheets/d/11923uPwbBZFjjGgGUA6NLw09EwE0CqkOc4q9oUmW1yo/edit?usp=sharing"",""แพร่!M543"")"),0)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IFERROR(__xludf.DUMMYFUNCTION("IMPORTRANGE(""https://docs.google.com/spreadsheets/d/11923uPwbBZFjjGgGUA6NLw09EwE0CqkOc4q9oUmW1yo/edit?usp=sharing"",""แพร่!I544"")"),0)</f>
        <v>0</v>
      </c>
      <c r="J649" s="536">
        <f ca="1">IFERROR(__xludf.DUMMYFUNCTION("IMPORTRANGE(""https://docs.google.com/spreadsheets/d/11923uPwbBZFjjGgGUA6NLw09EwE0CqkOc4q9oUmW1yo/edit?usp=sharing"",""แพร่!J544"")"),0)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IFERROR(__xludf.DUMMYFUNCTION("IMPORTRANGE(""https://docs.google.com/spreadsheets/d/11923uPwbBZFjjGgGUA6NLw09EwE0CqkOc4q9oUmW1yo/edit?usp=sharing"",""แพร่!L544"")"),0)</f>
        <v>0</v>
      </c>
      <c r="M649" s="521"/>
      <c r="N649" s="538">
        <f ca="1">IFERROR(__xludf.DUMMYFUNCTION("IMPORTRANGE(""https://docs.google.com/spreadsheets/d/11923uPwbBZFjjGgGUA6NLw09EwE0CqkOc4q9oUmW1yo/edit?usp=sharing"",""แพร่!M544"")"),0)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IFERROR(__xludf.DUMMYFUNCTION("IMPORTRANGE(""https://docs.google.com/spreadsheets/d/11923uPwbBZFjjGgGUA6NLw09EwE0CqkOc4q9oUmW1yo/edit?usp=sharing"",""แพร่!I545"")"),0)</f>
        <v>0</v>
      </c>
      <c r="J650" s="536">
        <f ca="1">IFERROR(__xludf.DUMMYFUNCTION("IMPORTRANGE(""https://docs.google.com/spreadsheets/d/11923uPwbBZFjjGgGUA6NLw09EwE0CqkOc4q9oUmW1yo/edit?usp=sharing"",""แพร่!J545"")"),0)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IFERROR(__xludf.DUMMYFUNCTION("IMPORTRANGE(""https://docs.google.com/spreadsheets/d/11923uPwbBZFjjGgGUA6NLw09EwE0CqkOc4q9oUmW1yo/edit?usp=sharing"",""แพร่!L545"")"),0)</f>
        <v>0</v>
      </c>
      <c r="M650" s="521"/>
      <c r="N650" s="538">
        <f ca="1">IFERROR(__xludf.DUMMYFUNCTION("IMPORTRANGE(""https://docs.google.com/spreadsheets/d/11923uPwbBZFjjGgGUA6NLw09EwE0CqkOc4q9oUmW1yo/edit?usp=sharing"",""แพร่!M545"")"),0)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IFERROR(__xludf.DUMMYFUNCTION("IMPORTRANGE(""https://docs.google.com/spreadsheets/d/11923uPwbBZFjjGgGUA6NLw09EwE0CqkOc4q9oUmW1yo/edit?usp=sharing"",""แพร่!I546"")"),0)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IFERROR(__xludf.DUMMYFUNCTION("IMPORTRANGE(""https://docs.google.com/spreadsheets/d/11923uPwbBZFjjGgGUA6NLw09EwE0CqkOc4q9oUmW1yo/edit?usp=sharing"",""แพร่!L546"")"),0)</f>
        <v>0</v>
      </c>
      <c r="M651" s="521"/>
      <c r="N651" s="538">
        <f ca="1">IFERROR(__xludf.DUMMYFUNCTION("IMPORTRANGE(""https://docs.google.com/spreadsheets/d/11923uPwbBZFjjGgGUA6NLw09EwE0CqkOc4q9oUmW1yo/edit?usp=sharing"",""แพร่!M546"")"),0)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IFERROR(__xludf.DUMMYFUNCTION("IMPORTRANGE(""https://docs.google.com/spreadsheets/d/11923uPwbBZFjjGgGUA6NLw09EwE0CqkOc4q9oUmW1yo/edit?usp=sharing"",""แพร่!J547"")"),0)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IFERROR(__xludf.DUMMYFUNCTION("IMPORTRANGE(""https://docs.google.com/spreadsheets/d/11923uPwbBZFjjGgGUA6NLw09EwE0CqkOc4q9oUmW1yo/edit?usp=sharing"",""แพร่!J548"")"),0)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IFERROR(__xludf.DUMMYFUNCTION("IMPORTRANGE(""https://docs.google.com/spreadsheets/d/11923uPwbBZFjjGgGUA6NLw09EwE0CqkOc4q9oUmW1yo/edit?usp=sharing"",""แพร่!J550"")"),0)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IFERROR(__xludf.DUMMYFUNCTION("IMPORTRANGE(""https://docs.google.com/spreadsheets/d/11923uPwbBZFjjGgGUA6NLw09EwE0CqkOc4q9oUmW1yo/edit?usp=sharing"",""แพร่!J551"")"),0)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IFERROR(__xludf.DUMMYFUNCTION("IMPORTRANGE(""https://docs.google.com/spreadsheets/d/11923uPwbBZFjjGgGUA6NLw09EwE0CqkOc4q9oUmW1yo/edit?usp=sharing"",""แพร่!J552"")"),0)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IFERROR(__xludf.DUMMYFUNCTION("IMPORTRANGE(""https://docs.google.com/spreadsheets/d/11923uPwbBZFjjGgGUA6NLw09EwE0CqkOc4q9oUmW1yo/edit?usp=sharing"",""แพร่!J553"")"),0)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IFERROR(__xludf.DUMMYFUNCTION("IMPORTRANGE(""https://docs.google.com/spreadsheets/d/11923uPwbBZFjjGgGUA6NLw09EwE0CqkOc4q9oUmW1yo/edit?usp=sharing"",""แพร่!J554"")"),0)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IFERROR(__xludf.DUMMYFUNCTION("IMPORTRANGE(""https://docs.google.com/spreadsheets/d/11923uPwbBZFjjGgGUA6NLw09EwE0CqkOc4q9oUmW1yo/edit?usp=sharing"",""แพร่!J555"")"),0)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IFERROR(__xludf.DUMMYFUNCTION("IMPORTRANGE(""https://docs.google.com/spreadsheets/d/11923uPwbBZFjjGgGUA6NLw09EwE0CqkOc4q9oUmW1yo/edit?usp=sharing"",""แพร่!J556"")"),0)</f>
        <v>0</v>
      </c>
      <c r="K661" s="537"/>
      <c r="L661" s="522">
        <f ca="1">IFERROR(__xludf.DUMMYFUNCTION("IMPORTRANGE(""https://docs.google.com/spreadsheets/d/11923uPwbBZFjjGgGUA6NLw09EwE0CqkOc4q9oUmW1yo/edit?usp=sharing"",""แพร่!L556"")"),0)</f>
        <v>0</v>
      </c>
      <c r="M661" s="521"/>
      <c r="N661" s="538">
        <f ca="1">IFERROR(__xludf.DUMMYFUNCTION("IMPORTRANGE(""https://docs.google.com/spreadsheets/d/11923uPwbBZFjjGgGUA6NLw09EwE0CqkOc4q9oUmW1yo/edit?usp=sharing"",""แพร่!M556"")"),0)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IFERROR(__xludf.DUMMYFUNCTION("IMPORTRANGE(""https://docs.google.com/spreadsheets/d/11923uPwbBZFjjGgGUA6NLw09EwE0CqkOc4q9oUmW1yo/edit?usp=sharing"",""แพร่!J557"")"),0)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IFERROR(__xludf.DUMMYFUNCTION("IMPORTRANGE(""https://docs.google.com/spreadsheets/d/11923uPwbBZFjjGgGUA6NLw09EwE0CqkOc4q9oUmW1yo/edit?usp=sharing"",""แพร่!I558"")"),0)</f>
        <v>0</v>
      </c>
      <c r="J663" s="536">
        <f ca="1">IFERROR(__xludf.DUMMYFUNCTION("IMPORTRANGE(""https://docs.google.com/spreadsheets/d/11923uPwbBZFjjGgGUA6NLw09EwE0CqkOc4q9oUmW1yo/edit?usp=sharing"",""แพร่!J558"")"),0)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IFERROR(__xludf.DUMMYFUNCTION("IMPORTRANGE(""https://docs.google.com/spreadsheets/d/11923uPwbBZFjjGgGUA6NLw09EwE0CqkOc4q9oUmW1yo/edit?usp=sharing"",""แพร่!I560"")"),1)</f>
        <v>1</v>
      </c>
      <c r="J665" s="536">
        <f ca="1">IFERROR(__xludf.DUMMYFUNCTION("IMPORTRANGE(""https://docs.google.com/spreadsheets/d/11923uPwbBZFjjGgGUA6NLw09EwE0CqkOc4q9oUmW1yo/edit?usp=sharing"",""แพร่!J560"")"),0)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IFERROR(__xludf.DUMMYFUNCTION("IMPORTRANGE(""https://docs.google.com/spreadsheets/d/11923uPwbBZFjjGgGUA6NLw09EwE0CqkOc4q9oUmW1yo/edit?usp=sharing"",""แพร่!L560"")"),120)</f>
        <v>120</v>
      </c>
      <c r="M665" s="521"/>
      <c r="N665" s="538">
        <f ca="1">IFERROR(__xludf.DUMMYFUNCTION("IMPORTRANGE(""https://docs.google.com/spreadsheets/d/11923uPwbBZFjjGgGUA6NLw09EwE0CqkOc4q9oUmW1yo/edit?usp=sharing"",""แพร่!M560"")"),0)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IFERROR(__xludf.DUMMYFUNCTION("IMPORTRANGE(""https://docs.google.com/spreadsheets/d/11923uPwbBZFjjGgGUA6NLw09EwE0CqkOc4q9oUmW1yo/edit?usp=sharing"",""แพร่!J561"")"),0)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IFERROR(__xludf.DUMMYFUNCTION("IMPORTRANGE(""https://docs.google.com/spreadsheets/d/11923uPwbBZFjjGgGUA6NLw09EwE0CqkOc4q9oUmW1yo/edit?usp=sharing"",""แพร่!J562"")"),0)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IFERROR(__xludf.DUMMYFUNCTION("IMPORTRANGE(""https://docs.google.com/spreadsheets/d/11923uPwbBZFjjGgGUA6NLw09EwE0CqkOc4q9oUmW1yo/edit?usp=sharing"",""แพร่!I563"")"),0)</f>
        <v>0</v>
      </c>
      <c r="J668" s="536">
        <f ca="1">IFERROR(__xludf.DUMMYFUNCTION("IMPORTRANGE(""https://docs.google.com/spreadsheets/d/11923uPwbBZFjjGgGUA6NLw09EwE0CqkOc4q9oUmW1yo/edit?usp=sharing"",""แพร่!J563"")"),0)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IFERROR(__xludf.DUMMYFUNCTION("IMPORTRANGE(""https://docs.google.com/spreadsheets/d/11923uPwbBZFjjGgGUA6NLw09EwE0CqkOc4q9oUmW1yo/edit?usp=sharing"",""แพร่!L563"")"),0)</f>
        <v>0</v>
      </c>
      <c r="M668" s="521"/>
      <c r="N668" s="538">
        <f ca="1">IFERROR(__xludf.DUMMYFUNCTION("IMPORTRANGE(""https://docs.google.com/spreadsheets/d/11923uPwbBZFjjGgGUA6NLw09EwE0CqkOc4q9oUmW1yo/edit?usp=sharing"",""แพร่!M563"")"),0)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IFERROR(__xludf.DUMMYFUNCTION("IMPORTRANGE(""https://docs.google.com/spreadsheets/d/11923uPwbBZFjjGgGUA6NLw09EwE0CqkOc4q9oUmW1yo/edit?usp=sharing"",""แพร่!J564"")"),0)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IFERROR(__xludf.DUMMYFUNCTION("IMPORTRANGE(""https://docs.google.com/spreadsheets/d/11923uPwbBZFjjGgGUA6NLw09EwE0CqkOc4q9oUmW1yo/edit?usp=sharing"",""แพร่!J565"")"),0)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IFERROR(__xludf.DUMMYFUNCTION("IMPORTRANGE(""https://docs.google.com/spreadsheets/d/11923uPwbBZFjjGgGUA6NLw09EwE0CqkOc4q9oUmW1yo/edit?usp=sharing"",""แพร่!I566"")"),0)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IFERROR(__xludf.DUMMYFUNCTION("IMPORTRANGE(""https://docs.google.com/spreadsheets/d/11923uPwbBZFjjGgGUA6NLw09EwE0CqkOc4q9oUmW1yo/edit?usp=sharing"",""แพร่!L566"")"),0)</f>
        <v>0</v>
      </c>
      <c r="M671" s="521"/>
      <c r="N671" s="538">
        <f ca="1">IFERROR(__xludf.DUMMYFUNCTION("IMPORTRANGE(""https://docs.google.com/spreadsheets/d/11923uPwbBZFjjGgGUA6NLw09EwE0CqkOc4q9oUmW1yo/edit?usp=sharing"",""แพร่!M566"")"),0)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IFERROR(__xludf.DUMMYFUNCTION("IMPORTRANGE(""https://docs.google.com/spreadsheets/d/11923uPwbBZFjjGgGUA6NLw09EwE0CqkOc4q9oUmW1yo/edit?usp=sharing"",""แพร่!J567"")"),0)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IFERROR(__xludf.DUMMYFUNCTION("IMPORTRANGE(""https://docs.google.com/spreadsheets/d/11923uPwbBZFjjGgGUA6NLw09EwE0CqkOc4q9oUmW1yo/edit?usp=sharing"",""แพร่!J568"")"),0)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IFERROR(__xludf.DUMMYFUNCTION("IMPORTRANGE(""https://docs.google.com/spreadsheets/d/11923uPwbBZFjjGgGUA6NLw09EwE0CqkOc4q9oUmW1yo/edit?usp=sharing"",""แพร่!J569"")"),0)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IFERROR(__xludf.DUMMYFUNCTION("IMPORTRANGE(""https://docs.google.com/spreadsheets/d/11923uPwbBZFjjGgGUA6NLw09EwE0CqkOc4q9oUmW1yo/edit?usp=sharing"",""แพร่!J570"")"),0)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IFERROR(__xludf.DUMMYFUNCTION("IMPORTRANGE(""https://docs.google.com/spreadsheets/d/11923uPwbBZFjjGgGUA6NLw09EwE0CqkOc4q9oUmW1yo/edit?usp=sharing"",""แพร่!J571"")"),0)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IFERROR(__xludf.DUMMYFUNCTION("IMPORTRANGE(""https://docs.google.com/spreadsheets/d/11923uPwbBZFjjGgGUA6NLw09EwE0CqkOc4q9oUmW1yo/edit?usp=sharing"",""แพร่!J572"")"),0)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3239502</v>
      </c>
      <c r="M8" s="23">
        <f t="shared" ca="1" si="0"/>
        <v>2196911</v>
      </c>
      <c r="N8" s="23">
        <f t="shared" ca="1" si="0"/>
        <v>2637457.0499999998</v>
      </c>
      <c r="O8" s="22">
        <f t="shared" ref="O8:O16" ca="1" si="1">IF(L8&gt;0,N8*100/L8,0)</f>
        <v>81.415509235678812</v>
      </c>
      <c r="P8" s="22">
        <f t="shared" ref="P8:P16" ca="1" si="2">IF(M8&gt;0,N8*100/M8,0)</f>
        <v>120.05297665676942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3239502</v>
      </c>
      <c r="M10" s="30">
        <f t="shared" ca="1" si="4"/>
        <v>2196911</v>
      </c>
      <c r="N10" s="30">
        <f t="shared" ca="1" si="4"/>
        <v>2637457.0499999998</v>
      </c>
      <c r="O10" s="29">
        <f t="shared" ca="1" si="1"/>
        <v>81.415509235678812</v>
      </c>
      <c r="P10" s="29">
        <f t="shared" ca="1" si="2"/>
        <v>120.05297665676942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3191702</v>
      </c>
      <c r="M12" s="39">
        <f t="shared" ca="1" si="6"/>
        <v>2149111</v>
      </c>
      <c r="N12" s="39">
        <f t="shared" ca="1" si="6"/>
        <v>2589657.0499999998</v>
      </c>
      <c r="O12" s="39">
        <f t="shared" ca="1" si="1"/>
        <v>81.137181666709481</v>
      </c>
      <c r="P12" s="39">
        <f t="shared" ca="1" si="2"/>
        <v>120.49899004751265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1558000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1633702</v>
      </c>
      <c r="M14" s="39">
        <f t="shared" si="8"/>
        <v>0</v>
      </c>
      <c r="N14" s="39">
        <f t="shared" ca="1" si="8"/>
        <v>880589</v>
      </c>
      <c r="O14" s="39">
        <f t="shared" ca="1" si="1"/>
        <v>53.90144591853349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2127775</v>
      </c>
      <c r="M18" s="23">
        <f t="shared" ca="1" si="11"/>
        <v>2196911</v>
      </c>
      <c r="N18" s="23">
        <f t="shared" ca="1" si="11"/>
        <v>1756868.05</v>
      </c>
      <c r="O18" s="22">
        <f t="shared" ref="O18:O20" ca="1" si="12">IF(L18&gt;0,N18*100/L18,0)</f>
        <v>82.568319018693231</v>
      </c>
      <c r="P18" s="22">
        <f t="shared" ref="P18:P26" ca="1" si="13">IF(M18&gt;0,N18*100/M18,0)</f>
        <v>79.969923679202296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2127775</v>
      </c>
      <c r="M20" s="30">
        <f t="shared" ca="1" si="15"/>
        <v>2196911</v>
      </c>
      <c r="N20" s="30">
        <f t="shared" ca="1" si="15"/>
        <v>1756868.05</v>
      </c>
      <c r="O20" s="29">
        <f t="shared" ca="1" si="12"/>
        <v>82.568319018693231</v>
      </c>
      <c r="P20" s="29">
        <f t="shared" ca="1" si="13"/>
        <v>79.969923679202296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2079975</v>
      </c>
      <c r="M22" s="42">
        <f t="shared" ca="1" si="18"/>
        <v>2149111</v>
      </c>
      <c r="N22" s="39">
        <f t="shared" ca="1" si="18"/>
        <v>1709068.05</v>
      </c>
      <c r="O22" s="39">
        <f t="shared" ca="1" si="17"/>
        <v>82.167720765874591</v>
      </c>
      <c r="P22" s="39">
        <f t="shared" ca="1" si="13"/>
        <v>79.524419632117656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1558000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521975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1111727</v>
      </c>
      <c r="M28" s="23">
        <f t="shared" si="23"/>
        <v>0</v>
      </c>
      <c r="N28" s="23">
        <f t="shared" ca="1" si="23"/>
        <v>880589</v>
      </c>
      <c r="O28" s="22">
        <f t="shared" ref="O28:O30" ca="1" si="24">IF(L28&gt;0,N28*100/L28,0)</f>
        <v>79.209104393434714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1111727</v>
      </c>
      <c r="M30" s="30">
        <f t="shared" si="27"/>
        <v>0</v>
      </c>
      <c r="N30" s="30">
        <f t="shared" ca="1" si="27"/>
        <v>880589</v>
      </c>
      <c r="O30" s="29">
        <f t="shared" ca="1" si="24"/>
        <v>79.209104393434714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1111727</v>
      </c>
      <c r="M32" s="39">
        <f t="shared" si="30"/>
        <v>0</v>
      </c>
      <c r="N32" s="39">
        <f t="shared" ca="1" si="30"/>
        <v>880589</v>
      </c>
      <c r="O32" s="39">
        <f t="shared" ca="1" si="29"/>
        <v>79.209104393434714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1111727</v>
      </c>
      <c r="M34" s="39">
        <f t="shared" si="32"/>
        <v>0</v>
      </c>
      <c r="N34" s="39">
        <f t="shared" ca="1" si="32"/>
        <v>880589</v>
      </c>
      <c r="O34" s="39">
        <f t="shared" ca="1" si="29"/>
        <v>79.209104393434714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2127775</v>
      </c>
      <c r="M37" s="55">
        <f t="shared" ca="1" si="33"/>
        <v>2196911</v>
      </c>
      <c r="N37" s="55">
        <f t="shared" ca="1" si="33"/>
        <v>1756868.05</v>
      </c>
      <c r="O37" s="56">
        <f t="shared" ca="1" si="29"/>
        <v>82.568319018693231</v>
      </c>
      <c r="P37" s="56">
        <f t="shared" ca="1" si="25"/>
        <v>79.969923679202296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669700</v>
      </c>
      <c r="N41" s="79">
        <f t="shared" ca="1" si="34"/>
        <v>554632.75</v>
      </c>
      <c r="O41" s="78">
        <f t="shared" ref="O41:O43" ca="1" si="35">IF(L41&gt;0,N41*100/L41,0)</f>
        <v>82.818090189637147</v>
      </c>
      <c r="P41" s="78">
        <f t="shared" ref="P41:P43" ca="1" si="36">IF(M41&gt;0,N41*100/M41,0)</f>
        <v>82.818090189637147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669700</v>
      </c>
      <c r="N43" s="79">
        <f t="shared" ca="1" si="38"/>
        <v>554632.75</v>
      </c>
      <c r="O43" s="78">
        <f t="shared" ca="1" si="35"/>
        <v>82.818090189637147</v>
      </c>
      <c r="P43" s="78">
        <f t="shared" ca="1" si="36"/>
        <v>82.818090189637147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669700</v>
      </c>
      <c r="M45" s="50">
        <f ca="1">IFERROR(__xludf.DUMMYFUNCTION("IMPORTRANGE(""https://docs.google.com/spreadsheets/d/1Yj_ptqi66GCucihVvJfMjLAmec39IyEx_6qawtMGysU/edit?usp=sharing"",""สบก!Q31"")"),669700)</f>
        <v>669700</v>
      </c>
      <c r="N45" s="50">
        <f ca="1">IFERROR(__xludf.DUMMYFUNCTION("IMPORTRANGE(""https://docs.google.com/spreadsheets/d/1Yj_ptqi66GCucihVvJfMjLAmec39IyEx_6qawtMGysU/edit?usp=sharing"",""สบก!R31"")"),554632.75)</f>
        <v>554632.75</v>
      </c>
      <c r="O45" s="39">
        <f ca="1">IF(L45&gt;0,N45*100/L45,0)</f>
        <v>82.818090189637147</v>
      </c>
      <c r="P45" s="39">
        <f ca="1">IF(M45&gt;0,N45*100/M45,0)</f>
        <v>82.818090189637147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IFERROR(__xludf.DUMMYFUNCTION("IMPORTRANGE(""https://docs.google.com/spreadsheets/d/1Yj_ptqi66GCucihVvJfMjLAmec39IyEx_6qawtMGysU/edit?usp=sharing"",""สบก!M31"")"),669700)</f>
        <v>669700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181500</v>
      </c>
      <c r="M53" s="121">
        <f t="shared" ca="1" si="39"/>
        <v>202936</v>
      </c>
      <c r="N53" s="121">
        <f t="shared" ca="1" si="39"/>
        <v>170436</v>
      </c>
      <c r="O53" s="120">
        <f t="shared" ref="O53:O55" ca="1" si="40">IF(L53&gt;0,N53*100/L53,0)</f>
        <v>93.904132231404958</v>
      </c>
      <c r="P53" s="120">
        <f t="shared" ref="P53:P55" ca="1" si="41">IF(M53&gt;0,N53*100/M53,0)</f>
        <v>83.985098750344932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181500</v>
      </c>
      <c r="M55" s="121">
        <f t="shared" ca="1" si="43"/>
        <v>202936</v>
      </c>
      <c r="N55" s="121">
        <f t="shared" ca="1" si="43"/>
        <v>170436</v>
      </c>
      <c r="O55" s="120">
        <f t="shared" ca="1" si="40"/>
        <v>93.904132231404958</v>
      </c>
      <c r="P55" s="120">
        <f t="shared" ca="1" si="41"/>
        <v>83.985098750344932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181500</v>
      </c>
      <c r="M57" s="50">
        <f ca="1">IFERROR(__xludf.DUMMYFUNCTION("IMPORTRANGE(""https://docs.google.com/spreadsheets/d/1Yj_ptqi66GCucihVvJfMjLAmec39IyEx_6qawtMGysU/edit?usp=sharing"",""สบก!Z31"")"),202936)</f>
        <v>202936</v>
      </c>
      <c r="N57" s="50">
        <f ca="1">IFERROR(__xludf.DUMMYFUNCTION("IMPORTRANGE(""https://docs.google.com/spreadsheets/d/1Yj_ptqi66GCucihVvJfMjLAmec39IyEx_6qawtMGysU/edit?usp=sharing"",""สบก!AA31"")"),170436)</f>
        <v>170436</v>
      </c>
      <c r="O57" s="39">
        <f ca="1">IF(L57&gt;0,N57*100/L57,0)</f>
        <v>93.904132231404958</v>
      </c>
      <c r="P57" s="39">
        <f ca="1">IF(M57&gt;0,N57*100/M57,0)</f>
        <v>83.985098750344932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IFERROR(__xludf.DUMMYFUNCTION("IMPORTRANGE(""https://docs.google.com/spreadsheets/d/1Yj_ptqi66GCucihVvJfMjLAmec39IyEx_6qawtMGysU/edit?usp=sharing"",""สบก!V31"")"),181500)</f>
        <v>181500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73625</v>
      </c>
      <c r="O118" s="151">
        <f t="shared" ref="O118:O120" ca="1" si="59">IF(L118&gt;0,N118*100/L118,0)</f>
        <v>89.307375060650173</v>
      </c>
      <c r="P118" s="151">
        <f t="shared" ref="P118:P120" ca="1" si="60">IF(M118&gt;0,N118*100/M118,0)</f>
        <v>89.307375060650173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73625</v>
      </c>
      <c r="O120" s="156">
        <f t="shared" ca="1" si="59"/>
        <v>89.307375060650173</v>
      </c>
      <c r="P120" s="156">
        <f t="shared" ca="1" si="60"/>
        <v>89.307375060650173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IFERROR(__xludf.DUMMYFUNCTION("IMPORTRANGE(""https://docs.google.com/spreadsheets/d/1Yj_ptqi66GCucihVvJfMjLAmec39IyEx_6qawtMGysU/edit?usp=sharing"",""สบก!BA31"")"),82440)</f>
        <v>82440</v>
      </c>
      <c r="N122" s="168">
        <f ca="1">IFERROR(__xludf.DUMMYFUNCTION("IMPORTRANGE(""https://docs.google.com/spreadsheets/d/1Yj_ptqi66GCucihVvJfMjLAmec39IyEx_6qawtMGysU/edit?usp=sharing"",""สบก!BB31"")"),73625)</f>
        <v>73625</v>
      </c>
      <c r="O122" s="168">
        <f ca="1">IF(L122&gt;0,N122*100/L122,0)</f>
        <v>89.307375060650173</v>
      </c>
      <c r="P122" s="168">
        <f ca="1">IF(M122&gt;0,N122*100/M122,0)</f>
        <v>89.307375060650173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115600</v>
      </c>
      <c r="M140" s="152">
        <f t="shared" ca="1" si="64"/>
        <v>123600</v>
      </c>
      <c r="N140" s="152">
        <f t="shared" ca="1" si="64"/>
        <v>115768</v>
      </c>
      <c r="O140" s="151">
        <f t="shared" ref="O140:O142" ca="1" si="65">IF(L140&gt;0,N140*100/L140,0)</f>
        <v>100.14532871972318</v>
      </c>
      <c r="P140" s="151">
        <f t="shared" ref="P140:P142" ca="1" si="66">IF(M140&gt;0,N140*100/M140,0)</f>
        <v>93.663430420711975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115600</v>
      </c>
      <c r="M142" s="88">
        <f t="shared" ca="1" si="68"/>
        <v>123600</v>
      </c>
      <c r="N142" s="88">
        <f t="shared" ca="1" si="68"/>
        <v>115768</v>
      </c>
      <c r="O142" s="156">
        <f t="shared" ca="1" si="65"/>
        <v>100.14532871972318</v>
      </c>
      <c r="P142" s="156">
        <f t="shared" ca="1" si="66"/>
        <v>93.663430420711975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115600</v>
      </c>
      <c r="M144" s="167">
        <f ca="1">IFERROR(__xludf.DUMMYFUNCTION("IMPORTRANGE(""https://docs.google.com/spreadsheets/d/1Yj_ptqi66GCucihVvJfMjLAmec39IyEx_6qawtMGysU/edit?usp=sharing"",""สบก!BJ31"")"),123600)</f>
        <v>123600</v>
      </c>
      <c r="N144" s="168">
        <f ca="1">IFERROR(__xludf.DUMMYFUNCTION("IMPORTRANGE(""https://docs.google.com/spreadsheets/d/1Yj_ptqi66GCucihVvJfMjLAmec39IyEx_6qawtMGysU/edit?usp=sharing"",""สบก!BK31"")"),115768)</f>
        <v>115768</v>
      </c>
      <c r="O144" s="168">
        <f ca="1">IF(L144&gt;0,N144*100/L144,0)</f>
        <v>100.14532871972318</v>
      </c>
      <c r="P144" s="168">
        <f ca="1">IF(M144&gt;0,N144*100/M144,0)</f>
        <v>93.663430420711975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IFERROR(__xludf.DUMMYFUNCTION("IMPORTRANGE(""https://docs.google.com/spreadsheets/d/1Yj_ptqi66GCucihVvJfMjLAmec39IyEx_6qawtMGysU/edit?usp=sharing"",""สบก!BG31"")"),115600)</f>
        <v>115600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IFERROR(__xludf.DUMMYFUNCTION("IMPORTRANGE(""https://docs.google.com/spreadsheets/d/11923uPwbBZFjjGgGUA6NLw09EwE0CqkOc4q9oUmW1yo/edit?usp=sharing"",""แม่ฮ่องสอน!J84"")"),82)</f>
        <v>82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IFERROR(__xludf.DUMMYFUNCTION("IMPORTRANGE(""https://docs.google.com/spreadsheets/d/11923uPwbBZFjjGgGUA6NLw09EwE0CqkOc4q9oUmW1yo/edit?usp=sharing"",""แม่ฮ่องสอน!J85"")"),82)</f>
        <v>82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144296</v>
      </c>
      <c r="O271" s="151">
        <f t="shared" ref="O271:O273" ca="1" si="84">IF(L271&gt;0,N271*100/L271,0)</f>
        <v>77.081196581196579</v>
      </c>
      <c r="P271" s="151">
        <f t="shared" ref="P271:P273" ca="1" si="85">IF(M271&gt;0,N271*100/M271,0)</f>
        <v>77.081196581196579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144296</v>
      </c>
      <c r="O273" s="156">
        <f t="shared" ca="1" si="84"/>
        <v>77.081196581196579</v>
      </c>
      <c r="P273" s="156">
        <f t="shared" ca="1" si="85"/>
        <v>77.081196581196579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IFERROR(__xludf.DUMMYFUNCTION("IMPORTRANGE(""https://docs.google.com/spreadsheets/d/1Yj_ptqi66GCucihVvJfMjLAmec39IyEx_6qawtMGysU/edit?usp=sharing"",""สบก!CK31"")"),187200)</f>
        <v>187200</v>
      </c>
      <c r="N275" s="168">
        <f ca="1">IFERROR(__xludf.DUMMYFUNCTION("IMPORTRANGE(""https://docs.google.com/spreadsheets/d/1Yj_ptqi66GCucihVvJfMjLAmec39IyEx_6qawtMGysU/edit?usp=sharing"",""สบก!CL31"")"),144296)</f>
        <v>144296</v>
      </c>
      <c r="O275" s="168">
        <f ca="1">IF(L275&gt;0,N275*100/L275,0)</f>
        <v>77.081196581196579</v>
      </c>
      <c r="P275" s="168">
        <f ca="1">IF(M275&gt;0,N275*100/M275,0)</f>
        <v>77.081196581196579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IFERROR(__xludf.DUMMYFUNCTION("IMPORTRANGE(""https://docs.google.com/spreadsheets/d/11923uPwbBZFjjGgGUA6NLw09EwE0CqkOc4q9oUmW1yo/edit?usp=sharing"",""แม่ฮ่องสอน!J228"")"),116)</f>
        <v>116</v>
      </c>
      <c r="K328" s="317">
        <f ca="1">IF(I328&gt;0,J328*100/I328,0)</f>
        <v>122.10526315789474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872040</v>
      </c>
      <c r="M329" s="152">
        <f t="shared" ca="1" si="98"/>
        <v>911740</v>
      </c>
      <c r="N329" s="152">
        <f t="shared" ca="1" si="98"/>
        <v>678815.3</v>
      </c>
      <c r="O329" s="151">
        <f t="shared" ref="O329:O331" ca="1" si="99">IF(L329&gt;0,N329*100/L329,0)</f>
        <v>77.842220540342183</v>
      </c>
      <c r="P329" s="151">
        <f t="shared" ref="P329:P331" ca="1" si="100">IF(M329&gt;0,N329*100/M329,0)</f>
        <v>74.452727751332617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872040</v>
      </c>
      <c r="M331" s="88">
        <f t="shared" ca="1" si="102"/>
        <v>911740</v>
      </c>
      <c r="N331" s="88">
        <f t="shared" ca="1" si="102"/>
        <v>678815.3</v>
      </c>
      <c r="O331" s="156">
        <f t="shared" ca="1" si="99"/>
        <v>77.842220540342183</v>
      </c>
      <c r="P331" s="156">
        <f t="shared" ca="1" si="100"/>
        <v>74.452727751332617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824240</v>
      </c>
      <c r="M333" s="167">
        <f ca="1">IFERROR(__xludf.DUMMYFUNCTION("IMPORTRANGE(""https://docs.google.com/spreadsheets/d/1Yj_ptqi66GCucihVvJfMjLAmec39IyEx_6qawtMGysU/edit?usp=sharing"",""สบก!DL31"")"),863940)</f>
        <v>863940</v>
      </c>
      <c r="N333" s="168">
        <f ca="1">IFERROR(__xludf.DUMMYFUNCTION("IMPORTRANGE(""https://docs.google.com/spreadsheets/d/1Yj_ptqi66GCucihVvJfMjLAmec39IyEx_6qawtMGysU/edit?usp=sharing"",""สบก!DM31"")"),631015.3)</f>
        <v>631015.30000000005</v>
      </c>
      <c r="O333" s="168">
        <f ca="1">IF(L333&gt;0,N333*100/L333,0)</f>
        <v>76.557228477142587</v>
      </c>
      <c r="P333" s="168">
        <f ca="1">IF(M333&gt;0,N333*100/M333,0)</f>
        <v>73.039250410908167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IFERROR(__xludf.DUMMYFUNCTION("IMPORTRANGE(""https://docs.google.com/spreadsheets/d/1Yj_ptqi66GCucihVvJfMjLAmec39IyEx_6qawtMGysU/edit?usp=sharing"",""สบก!DI31"")"),249440)</f>
        <v>249440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IFERROR(__xludf.DUMMYFUNCTION("IMPORTRANGE(""https://docs.google.com/spreadsheets/d/11923uPwbBZFjjGgGUA6NLw09EwE0CqkOc4q9oUmW1yo/edit?usp=sharing"",""แม่ฮ่องสอน!J234"")"),64)</f>
        <v>64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IFERROR(__xludf.DUMMYFUNCTION("IMPORTRANGE(""https://docs.google.com/spreadsheets/d/11923uPwbBZFjjGgGUA6NLw09EwE0CqkOc4q9oUmW1yo/edit?usp=sharing"",""แม่ฮ่องสอน!J235"")"),130.329999999999)</f>
        <v>130.32999999999899</v>
      </c>
      <c r="K340" s="342">
        <f t="shared" ca="1" si="103"/>
        <v>86.886666666665988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IFERROR(__xludf.DUMMYFUNCTION("IMPORTRANGE(""https://docs.google.com/spreadsheets/d/11923uPwbBZFjjGgGUA6NLw09EwE0CqkOc4q9oUmW1yo/edit?usp=sharing"",""แม่ฮ่องสอน!J236"")"),122)</f>
        <v>122</v>
      </c>
      <c r="K341" s="342">
        <f t="shared" ca="1" si="103"/>
        <v>128.42105263157896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IFERROR(__xludf.DUMMYFUNCTION("IMPORTRANGE(""https://docs.google.com/spreadsheets/d/11923uPwbBZFjjGgGUA6NLw09EwE0CqkOc4q9oUmW1yo/edit?usp=sharing"",""แม่ฮ่องสอน!J237"")"),389.24)</f>
        <v>389.24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IFERROR(__xludf.DUMMYFUNCTION("IMPORTRANGE(""https://docs.google.com/spreadsheets/d/11923uPwbBZFjjGgGUA6NLw09EwE0CqkOc4q9oUmW1yo/edit?usp=sharing"",""แม่ฮ่องสอน!J240"")"),116)</f>
        <v>116</v>
      </c>
      <c r="K345" s="342">
        <f t="shared" ca="1" si="103"/>
        <v>122.10526315789474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IFERROR(__xludf.DUMMYFUNCTION("IMPORTRANGE(""https://docs.google.com/spreadsheets/d/11923uPwbBZFjjGgGUA6NLw09EwE0CqkOc4q9oUmW1yo/edit?usp=sharing"",""แม่ฮ่องสอน!J241"")"),382.91)</f>
        <v>382.91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IFERROR(__xludf.DUMMYFUNCTION("IMPORTRANGE(""https://docs.google.com/spreadsheets/d/11923uPwbBZFjjGgGUA6NLw09EwE0CqkOc4q9oUmW1yo/edit?usp=sharing"",""แม่ฮ่องสอน!L242"")"),1111727)</f>
        <v>1111727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IFERROR(__xludf.DUMMYFUNCTION("IMPORTRANGE(""https://docs.google.com/spreadsheets/d/11923uPwbBZFjjGgGUA6NLw09EwE0CqkOc4q9oUmW1yo/edit?usp=sharing"",""แม่ฮ่องสอน!M242"")"),880589)</f>
        <v>880589</v>
      </c>
      <c r="O347" s="357">
        <f ca="1">+IF(L347&gt;0,N347*100/L347,0)</f>
        <v>79.209104393434714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IFERROR(__xludf.DUMMYFUNCTION("IMPORTRANGE(""https://docs.google.com/spreadsheets/d/11923uPwbBZFjjGgGUA6NLw09EwE0CqkOc4q9oUmW1yo/edit?usp=sharing"",""แม่ฮ่องสอน!M244"")"),293741)</f>
        <v>293741</v>
      </c>
      <c r="O349" s="372">
        <f ca="1">+IF(L349&gt;0,N349*100/L349,0)</f>
        <v>83.076248656598224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IFERROR(__xludf.DUMMYFUNCTION("IMPORTRANGE(""https://docs.google.com/spreadsheets/d/11923uPwbBZFjjGgGUA6NLw09EwE0CqkOc4q9oUmW1yo/edit?usp=sharing"",""แม่ฮ่องสอน!M247"")"),293741)</f>
        <v>293741</v>
      </c>
      <c r="O352" s="165">
        <f t="shared" ca="1" si="105"/>
        <v>83.076248656598224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IFERROR(__xludf.DUMMYFUNCTION("IMPORTRANGE(""https://docs.google.com/spreadsheets/d/11923uPwbBZFjjGgGUA6NLw09EwE0CqkOc4q9oUmW1yo/edit?usp=sharing"",""แม่ฮ่องสอน!M249"")"),293741)</f>
        <v>293741</v>
      </c>
      <c r="O354" s="168">
        <f t="shared" ca="1" si="105"/>
        <v>83.076248656598224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IFERROR(__xludf.DUMMYFUNCTION("IMPORTRANGE(""https://docs.google.com/spreadsheets/d/11923uPwbBZFjjGgGUA6NLw09EwE0CqkOc4q9oUmW1yo/edit?usp=sharing"",""แม่ฮ่องสอน!M252"")"),96161)</f>
        <v>96161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IFERROR(__xludf.DUMMYFUNCTION("IMPORTRANGE(""https://docs.google.com/spreadsheets/d/11923uPwbBZFjjGgGUA6NLw09EwE0CqkOc4q9oUmW1yo/edit?usp=sharing"",""แม่ฮ่องสอน!M253"")"),30780)</f>
        <v>30780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IFERROR(__xludf.DUMMYFUNCTION("IMPORTRANGE(""https://docs.google.com/spreadsheets/d/11923uPwbBZFjjGgGUA6NLw09EwE0CqkOc4q9oUmW1yo/edit?usp=sharing"",""แม่ฮ่องสอน!J275"")"),100)</f>
        <v>100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IFERROR(__xludf.DUMMYFUNCTION("IMPORTRANGE(""https://docs.google.com/spreadsheets/d/11923uPwbBZFjjGgGUA6NLw09EwE0CqkOc4q9oUmW1yo/edit?usp=sharing"",""แม่ฮ่องสอน!M275"")"),124650)</f>
        <v>124650</v>
      </c>
      <c r="O380" s="372">
        <f ca="1">+IF(L380&gt;0,N380*100/L380,0)</f>
        <v>97.642174526084915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IFERROR(__xludf.DUMMYFUNCTION("IMPORTRANGE(""https://docs.google.com/spreadsheets/d/11923uPwbBZFjjGgGUA6NLw09EwE0CqkOc4q9oUmW1yo/edit?usp=sharing"",""แม่ฮ่องสอน!M278"")"),124650)</f>
        <v>124650</v>
      </c>
      <c r="O383" s="165">
        <f t="shared" ca="1" si="109"/>
        <v>97.642174526084915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IFERROR(__xludf.DUMMYFUNCTION("IMPORTRANGE(""https://docs.google.com/spreadsheets/d/11923uPwbBZFjjGgGUA6NLw09EwE0CqkOc4q9oUmW1yo/edit?usp=sharing"",""แม่ฮ่องสอน!M280"")"),124650)</f>
        <v>124650</v>
      </c>
      <c r="O385" s="168">
        <f t="shared" ca="1" si="109"/>
        <v>97.642174526084915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IFERROR(__xludf.DUMMYFUNCTION("IMPORTRANGE(""https://docs.google.com/spreadsheets/d/11923uPwbBZFjjGgGUA6NLw09EwE0CqkOc4q9oUmW1yo/edit?usp=sharing"",""แม่ฮ่องสอน!M282"")"),62500)</f>
        <v>62500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IFERROR(__xludf.DUMMYFUNCTION("IMPORTRANGE(""https://docs.google.com/spreadsheets/d/11923uPwbBZFjjGgGUA6NLw09EwE0CqkOc4q9oUmW1yo/edit?usp=sharing"",""แม่ฮ่องสอน!M284"")"),20750)</f>
        <v>20750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IFERROR(__xludf.DUMMYFUNCTION("IMPORTRANGE(""https://docs.google.com/spreadsheets/d/11923uPwbBZFjjGgGUA6NLw09EwE0CqkOc4q9oUmW1yo/edit?usp=sharing"",""แม่ฮ่องสอน!J292"")"),100)</f>
        <v>100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IFERROR(__xludf.DUMMYFUNCTION("IMPORTRANGE(""https://docs.google.com/spreadsheets/d/11923uPwbBZFjjGgGUA6NLw09EwE0CqkOc4q9oUmW1yo/edit?usp=sharing"",""แม่ฮ่องสอน!J293"")"),40)</f>
        <v>40</v>
      </c>
      <c r="K398" s="163">
        <f t="shared" ca="1" si="110"/>
        <v>400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IFERROR(__xludf.DUMMYFUNCTION("IMPORTRANGE(""https://docs.google.com/spreadsheets/d/11923uPwbBZFjjGgGUA6NLw09EwE0CqkOc4q9oUmW1yo/edit?usp=sharing"",""แม่ฮ่องสอน!M296"")"),103810)</f>
        <v>103810</v>
      </c>
      <c r="O401" s="372">
        <f ca="1">+IF(L401&gt;0,N401*100/L401,0)</f>
        <v>99.254230806004401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IFERROR(__xludf.DUMMYFUNCTION("IMPORTRANGE(""https://docs.google.com/spreadsheets/d/11923uPwbBZFjjGgGUA6NLw09EwE0CqkOc4q9oUmW1yo/edit?usp=sharing"",""แม่ฮ่องสอน!M299"")"),103810)</f>
        <v>103810</v>
      </c>
      <c r="O404" s="168">
        <f t="shared" ca="1" si="112"/>
        <v>99.254230806004401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IFERROR(__xludf.DUMMYFUNCTION("IMPORTRANGE(""https://docs.google.com/spreadsheets/d/11923uPwbBZFjjGgGUA6NLw09EwE0CqkOc4q9oUmW1yo/edit?usp=sharing"",""แม่ฮ่องสอน!M301"")"),103810)</f>
        <v>103810</v>
      </c>
      <c r="O406" s="168">
        <f t="shared" ca="1" si="112"/>
        <v>99.254230806004401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IFERROR(__xludf.DUMMYFUNCTION("IMPORTRANGE(""https://docs.google.com/spreadsheets/d/11923uPwbBZFjjGgGUA6NLw09EwE0CqkOc4q9oUmW1yo/edit?usp=sharing"",""แม่ฮ่องสอน!M305"")"),22040)</f>
        <v>22040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IFERROR(__xludf.DUMMYFUNCTION("IMPORTRANGE(""https://docs.google.com/spreadsheets/d/11923uPwbBZFjjGgGUA6NLw09EwE0CqkOc4q9oUmW1yo/edit?usp=sharing"",""แม่ฮ่องสอน!M330"")"),89359)</f>
        <v>89359</v>
      </c>
      <c r="O435" s="411">
        <f t="shared" ref="O435:O439" ca="1" si="114">+IF(L435&gt;0,N435*100/L435,0)</f>
        <v>89.358999999999995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IFERROR(__xludf.DUMMYFUNCTION("IMPORTRANGE(""https://docs.google.com/spreadsheets/d/11923uPwbBZFjjGgGUA6NLw09EwE0CqkOc4q9oUmW1yo/edit?usp=sharing"",""แม่ฮ่องสอน!M332"")"),89359)</f>
        <v>89359</v>
      </c>
      <c r="O437" s="168">
        <f t="shared" ca="1" si="114"/>
        <v>89.358999999999995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IFERROR(__xludf.DUMMYFUNCTION("IMPORTRANGE(""https://docs.google.com/spreadsheets/d/11923uPwbBZFjjGgGUA6NLw09EwE0CqkOc4q9oUmW1yo/edit?usp=sharing"",""แม่ฮ่องสอน!M334"")"),89359)</f>
        <v>89359</v>
      </c>
      <c r="O439" s="168">
        <f t="shared" ca="1" si="114"/>
        <v>89.358999999999995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IFERROR(__xludf.DUMMYFUNCTION("IMPORTRANGE(""https://docs.google.com/spreadsheets/d/11923uPwbBZFjjGgGUA6NLw09EwE0CqkOc4q9oUmW1yo/edit?usp=sharing"",""แม่ฮ่องสอน!M338"")"),45159)</f>
        <v>45159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IFERROR(__xludf.DUMMYFUNCTION("IMPORTRANGE(""https://docs.google.com/spreadsheets/d/11923uPwbBZFjjGgGUA6NLw09EwE0CqkOc4q9oUmW1yo/edit?usp=sharing"",""แม่ฮ่องสอน!M428"")"),30107)</f>
        <v>30107</v>
      </c>
      <c r="O533" s="411">
        <f t="shared" ref="O533:O537" ca="1" si="118">+IF(L533&gt;0,N533*100/L533,0)</f>
        <v>87.67326732673267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IFERROR(__xludf.DUMMYFUNCTION("IMPORTRANGE(""https://docs.google.com/spreadsheets/d/11923uPwbBZFjjGgGUA6NLw09EwE0CqkOc4q9oUmW1yo/edit?usp=sharing"",""แม่ฮ่องสอน!M430"")"),30107)</f>
        <v>30107</v>
      </c>
      <c r="O535" s="168">
        <f t="shared" ca="1" si="118"/>
        <v>87.67326732673267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IFERROR(__xludf.DUMMYFUNCTION("IMPORTRANGE(""https://docs.google.com/spreadsheets/d/11923uPwbBZFjjGgGUA6NLw09EwE0CqkOc4q9oUmW1yo/edit?usp=sharing"",""แม่ฮ่องสอน!M432"")"),30107)</f>
        <v>30107</v>
      </c>
      <c r="O537" s="168">
        <f t="shared" ca="1" si="118"/>
        <v>87.67326732673267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IFERROR(__xludf.DUMMYFUNCTION("IMPORTRANGE(""https://docs.google.com/spreadsheets/d/11923uPwbBZFjjGgGUA6NLw09EwE0CqkOc4q9oUmW1yo/edit?usp=sharing"",""แม่ฮ่องสอน!M436"")"),11367)</f>
        <v>11367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IFERROR(__xludf.DUMMYFUNCTION("IMPORTRANGE(""https://docs.google.com/spreadsheets/d/11923uPwbBZFjjGgGUA6NLw09EwE0CqkOc4q9oUmW1yo/edit?usp=sharing"",""แม่ฮ่องสอน!J459"")"),385)</f>
        <v>385</v>
      </c>
      <c r="K564" s="371">
        <f ca="1">IF(I564&gt;0,J564*100/I564,0)</f>
        <v>154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IFERROR(__xludf.DUMMYFUNCTION("IMPORTRANGE(""https://docs.google.com/spreadsheets/d/11923uPwbBZFjjGgGUA6NLw09EwE0CqkOc4q9oUmW1yo/edit?usp=sharing"",""แม่ฮ่องสอน!M459"")"),118687)</f>
        <v>118687</v>
      </c>
      <c r="O564" s="372">
        <f t="shared" ref="O564:O568" ca="1" si="122">+IF(L564&gt;0,N564*100/L564,0)</f>
        <v>91.241543665436652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IFERROR(__xludf.DUMMYFUNCTION("IMPORTRANGE(""https://docs.google.com/spreadsheets/d/11923uPwbBZFjjGgGUA6NLw09EwE0CqkOc4q9oUmW1yo/edit?usp=sharing"",""แม่ฮ่องสอน!M461"")"),118687)</f>
        <v>118687</v>
      </c>
      <c r="O566" s="168">
        <f t="shared" ca="1" si="122"/>
        <v>91.241543665436652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IFERROR(__xludf.DUMMYFUNCTION("IMPORTRANGE(""https://docs.google.com/spreadsheets/d/11923uPwbBZFjjGgGUA6NLw09EwE0CqkOc4q9oUmW1yo/edit?usp=sharing"",""แม่ฮ่องสอน!M463"")"),118687)</f>
        <v>118687</v>
      </c>
      <c r="O568" s="168">
        <f t="shared" ca="1" si="122"/>
        <v>91.241543665436652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IFERROR(__xludf.DUMMYFUNCTION("IMPORTRANGE(""https://docs.google.com/spreadsheets/d/11923uPwbBZFjjGgGUA6NLw09EwE0CqkOc4q9oUmW1yo/edit?usp=sharing"",""แม่ฮ่องสอน!M466"")"),87607)</f>
        <v>87607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IFERROR(__xludf.DUMMYFUNCTION("IMPORTRANGE(""https://docs.google.com/spreadsheets/d/11923uPwbBZFjjGgGUA6NLw09EwE0CqkOc4q9oUmW1yo/edit?usp=sharing"",""แม่ฮ่องสอน!M467"")"),31080)</f>
        <v>31080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IFERROR(__xludf.DUMMYFUNCTION("IMPORTRANGE(""https://docs.google.com/spreadsheets/d/11923uPwbBZFjjGgGUA6NLw09EwE0CqkOc4q9oUmW1yo/edit?usp=sharing"",""แม่ฮ่องสอน!J468"")"),385)</f>
        <v>385</v>
      </c>
      <c r="K573" s="201">
        <f ca="1">IF(I573&gt;0,J573*100/I573,0)</f>
        <v>154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IFERROR(__xludf.DUMMYFUNCTION("IMPORTRANGE(""https://docs.google.com/spreadsheets/d/11923uPwbBZFjjGgGUA6NLw09EwE0CqkOc4q9oUmW1yo/edit?usp=sharing"",""แม่ฮ่องสอน!J471"")"),251)</f>
        <v>251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IFERROR(__xludf.DUMMYFUNCTION("IMPORTRANGE(""https://docs.google.com/spreadsheets/d/11923uPwbBZFjjGgGUA6NLw09EwE0CqkOc4q9oUmW1yo/edit?usp=sharing"",""แม่ฮ่องสอน!J472"")"),134)</f>
        <v>134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IFERROR(__xludf.DUMMYFUNCTION("IMPORTRANGE(""https://docs.google.com/spreadsheets/d/11923uPwbBZFjjGgGUA6NLw09EwE0CqkOc4q9oUmW1yo/edit?usp=sharing"",""แม่ฮ่องสอน!L475"")"),156934)</f>
        <v>156934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IFERROR(__xludf.DUMMYFUNCTION("IMPORTRANGE(""https://docs.google.com/spreadsheets/d/11923uPwbBZFjjGgGUA6NLw09EwE0CqkOc4q9oUmW1yo/edit?usp=sharing"",""แม่ฮ่องสอน!M475"")"),75780)</f>
        <v>75780</v>
      </c>
      <c r="O580" s="372">
        <f t="shared" ref="O580:O584" ca="1" si="124">+IF(L580&gt;0,N580*100/L580,0)</f>
        <v>48.287815259918183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IFERROR(__xludf.DUMMYFUNCTION("IMPORTRANGE(""https://docs.google.com/spreadsheets/d/11923uPwbBZFjjGgGUA6NLw09EwE0CqkOc4q9oUmW1yo/edit?usp=sharing"",""แม่ฮ่องสอน!L477"")"),156934)</f>
        <v>156934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IFERROR(__xludf.DUMMYFUNCTION("IMPORTRANGE(""https://docs.google.com/spreadsheets/d/11923uPwbBZFjjGgGUA6NLw09EwE0CqkOc4q9oUmW1yo/edit?usp=sharing"",""แม่ฮ่องสอน!M477"")"),75780)</f>
        <v>75780</v>
      </c>
      <c r="O582" s="168">
        <f t="shared" ca="1" si="124"/>
        <v>48.287815259918183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IFERROR(__xludf.DUMMYFUNCTION("IMPORTRANGE(""https://docs.google.com/spreadsheets/d/11923uPwbBZFjjGgGUA6NLw09EwE0CqkOc4q9oUmW1yo/edit?usp=sharing"",""แม่ฮ่องสอน!L479"")"),156934)</f>
        <v>156934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IFERROR(__xludf.DUMMYFUNCTION("IMPORTRANGE(""https://docs.google.com/spreadsheets/d/11923uPwbBZFjjGgGUA6NLw09EwE0CqkOc4q9oUmW1yo/edit?usp=sharing"",""แม่ฮ่องสอน!M479"")"),75780)</f>
        <v>75780</v>
      </c>
      <c r="O584" s="168">
        <f t="shared" ca="1" si="124"/>
        <v>48.287815259918183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IFERROR(__xludf.DUMMYFUNCTION("IMPORTRANGE(""https://docs.google.com/spreadsheets/d/11923uPwbBZFjjGgGUA6NLw09EwE0CqkOc4q9oUmW1yo/edit?usp=sharing"",""แม่ฮ่องสอน!M483"")"),75780)</f>
        <v>75780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8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IFERROR(__xludf.DUMMYFUNCTION("IMPORTRANGE(""https://docs.google.com/spreadsheets/d/11923uPwbBZFjjGgGUA6NLw09EwE0CqkOc4q9oUmW1yo/edit?usp=sharing"",""แม่ฮ่องสอน!L492"")"),6950)</f>
        <v>6950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IFERROR(__xludf.DUMMYFUNCTION("IMPORTRANGE(""https://docs.google.com/spreadsheets/d/11923uPwbBZFjjGgGUA6NLw09EwE0CqkOc4q9oUmW1yo/edit?usp=sharing"",""แม่ฮ่องสอน!M492"")"),4200)</f>
        <v>4200</v>
      </c>
      <c r="O597" s="411">
        <f t="shared" ref="O597:O601" ca="1" si="126">+IF(L597&gt;0,N597*100/L597,0)</f>
        <v>60.431654676258994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IFERROR(__xludf.DUMMYFUNCTION("IMPORTRANGE(""https://docs.google.com/spreadsheets/d/11923uPwbBZFjjGgGUA6NLw09EwE0CqkOc4q9oUmW1yo/edit?usp=sharing"",""แม่ฮ่องสอน!M494"")"),4200)</f>
        <v>4200</v>
      </c>
      <c r="O599" s="168">
        <f t="shared" ca="1" si="126"/>
        <v>60.431654676258994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IFERROR(__xludf.DUMMYFUNCTION("IMPORTRANGE(""https://docs.google.com/spreadsheets/d/11923uPwbBZFjjGgGUA6NLw09EwE0CqkOc4q9oUmW1yo/edit?usp=sharing"",""แม่ฮ่องสอน!M496"")"),4200)</f>
        <v>4200</v>
      </c>
      <c r="O601" s="168">
        <f t="shared" ca="1" si="126"/>
        <v>60.431654676258994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IFERROR(__xludf.DUMMYFUNCTION("IMPORTRANGE(""https://docs.google.com/spreadsheets/d/11923uPwbBZFjjGgGUA6NLw09EwE0CqkOc4q9oUmW1yo/edit?usp=sharing"",""แม่ฮ่องสอน!M500"")"),4200)</f>
        <v>4200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IFERROR(__xludf.DUMMYFUNCTION("IMPORTRANGE(""https://docs.google.com/spreadsheets/d/11923uPwbBZFjjGgGUA6NLw09EwE0CqkOc4q9oUmW1yo/edit?usp=sharing"",""แม่ฮ่องสอน!J523"")"),839956.09)</f>
        <v>839956.09</v>
      </c>
      <c r="K628" s="342">
        <f t="shared" ref="K628:K635" ca="1" si="129">IF(I628&gt;0,J628*100/I628,0)</f>
        <v>100.10350051281294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IFERROR(__xludf.DUMMYFUNCTION("IMPORTRANGE(""https://docs.google.com/spreadsheets/d/11923uPwbBZFjjGgGUA6NLw09EwE0CqkOc4q9oUmW1yo/edit?usp=sharing"",""แม่ฮ่องสอน!J524"")"),80)</f>
        <v>80</v>
      </c>
      <c r="K629" s="342">
        <f t="shared" ca="1" si="129"/>
        <v>95.238095238095241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IFERROR(__xludf.DUMMYFUNCTION("IMPORTRANGE(""https://docs.google.com/spreadsheets/d/11923uPwbBZFjjGgGUA6NLw09EwE0CqkOc4q9oUmW1yo/edit?usp=sharing"",""แม่ฮ่องสอน!J525"")"),163668.86)</f>
        <v>163668.85999999999</v>
      </c>
      <c r="K630" s="342">
        <f t="shared" ca="1" si="129"/>
        <v>47.947351583940524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IFERROR(__xludf.DUMMYFUNCTION("IMPORTRANGE(""https://docs.google.com/spreadsheets/d/11923uPwbBZFjjGgGUA6NLw09EwE0CqkOc4q9oUmW1yo/edit?usp=sharing"",""แม่ฮ่องสอน!J526"")"),22)</f>
        <v>22</v>
      </c>
      <c r="K631" s="342">
        <f t="shared" ca="1" si="129"/>
        <v>81.481481481481481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IFERROR(__xludf.DUMMYFUNCTION("IMPORTRANGE(""https://docs.google.com/spreadsheets/d/11923uPwbBZFjjGgGUA6NLw09EwE0CqkOc4q9oUmW1yo/edit?usp=sharing"",""แม่ฮ่องสอน!I529"")"),1090000)</f>
        <v>1090000</v>
      </c>
      <c r="J634" s="341">
        <f ca="1">IFERROR(__xludf.DUMMYFUNCTION("IMPORTRANGE(""https://docs.google.com/spreadsheets/d/11923uPwbBZFjjGgGUA6NLw09EwE0CqkOc4q9oUmW1yo/edit?usp=sharing"",""แม่ฮ่องสอน!J529"")"),900000)</f>
        <v>900000</v>
      </c>
      <c r="K634" s="342">
        <f t="shared" ca="1" si="129"/>
        <v>82.568807339449535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IFERROR(__xludf.DUMMYFUNCTION("IMPORTRANGE(""https://docs.google.com/spreadsheets/d/11923uPwbBZFjjGgGUA6NLw09EwE0CqkOc4q9oUmW1yo/edit?usp=sharing"",""แม่ฮ่องสอน!I530"")"),38)</f>
        <v>38</v>
      </c>
      <c r="J635" s="505">
        <f ca="1">IFERROR(__xludf.DUMMYFUNCTION("IMPORTRANGE(""https://docs.google.com/spreadsheets/d/11923uPwbBZFjjGgGUA6NLw09EwE0CqkOc4q9oUmW1yo/edit?usp=sharing"",""แม่ฮ่องสอน!J530"")"),28)</f>
        <v>28</v>
      </c>
      <c r="K635" s="487">
        <f t="shared" ca="1" si="129"/>
        <v>73.684210526315795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IFERROR(__xludf.DUMMYFUNCTION("IMPORTRANGE(""https://docs.google.com/spreadsheets/d/11923uPwbBZFjjGgGUA6NLw09EwE0CqkOc4q9oUmW1yo/edit?usp=sharing"",""แม่ฮ่องสอน!J541"")"),0)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IFERROR(__xludf.DUMMYFUNCTION("IMPORTRANGE(""https://docs.google.com/spreadsheets/d/11923uPwbBZFjjGgGUA6NLw09EwE0CqkOc4q9oUmW1yo/edit?usp=sharing"",""แม่ฮ่องสอน!J542"")"),0)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IFERROR(__xludf.DUMMYFUNCTION("IMPORTRANGE(""https://docs.google.com/spreadsheets/d/11923uPwbBZFjjGgGUA6NLw09EwE0CqkOc4q9oUmW1yo/edit?usp=sharing"",""แม่ฮ่องสอน!I543"")"),0)</f>
        <v>0</v>
      </c>
      <c r="J648" s="536">
        <f ca="1">IFERROR(__xludf.DUMMYFUNCTION("IMPORTRANGE(""https://docs.google.com/spreadsheets/d/11923uPwbBZFjjGgGUA6NLw09EwE0CqkOc4q9oUmW1yo/edit?usp=sharing"",""แม่ฮ่องสอน!J543"")"),0)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IFERROR(__xludf.DUMMYFUNCTION("IMPORTRANGE(""https://docs.google.com/spreadsheets/d/11923uPwbBZFjjGgGUA6NLw09EwE0CqkOc4q9oUmW1yo/edit?usp=sharing"",""แม่ฮ่องสอน!L543"")"),0)</f>
        <v>0</v>
      </c>
      <c r="M648" s="521"/>
      <c r="N648" s="538">
        <f ca="1">IFERROR(__xludf.DUMMYFUNCTION("IMPORTRANGE(""https://docs.google.com/spreadsheets/d/11923uPwbBZFjjGgGUA6NLw09EwE0CqkOc4q9oUmW1yo/edit?usp=sharing"",""แม่ฮ่องสอน!M543"")"),0)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IFERROR(__xludf.DUMMYFUNCTION("IMPORTRANGE(""https://docs.google.com/spreadsheets/d/11923uPwbBZFjjGgGUA6NLw09EwE0CqkOc4q9oUmW1yo/edit?usp=sharing"",""แม่ฮ่องสอน!I544"")"),0)</f>
        <v>0</v>
      </c>
      <c r="J649" s="536">
        <f ca="1">IFERROR(__xludf.DUMMYFUNCTION("IMPORTRANGE(""https://docs.google.com/spreadsheets/d/11923uPwbBZFjjGgGUA6NLw09EwE0CqkOc4q9oUmW1yo/edit?usp=sharing"",""แม่ฮ่องสอน!J544"")"),0)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IFERROR(__xludf.DUMMYFUNCTION("IMPORTRANGE(""https://docs.google.com/spreadsheets/d/11923uPwbBZFjjGgGUA6NLw09EwE0CqkOc4q9oUmW1yo/edit?usp=sharing"",""แม่ฮ่องสอน!L544"")"),0)</f>
        <v>0</v>
      </c>
      <c r="M649" s="521"/>
      <c r="N649" s="538">
        <f ca="1">IFERROR(__xludf.DUMMYFUNCTION("IMPORTRANGE(""https://docs.google.com/spreadsheets/d/11923uPwbBZFjjGgGUA6NLw09EwE0CqkOc4q9oUmW1yo/edit?usp=sharing"",""แม่ฮ่องสอน!M544"")"),0)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IFERROR(__xludf.DUMMYFUNCTION("IMPORTRANGE(""https://docs.google.com/spreadsheets/d/11923uPwbBZFjjGgGUA6NLw09EwE0CqkOc4q9oUmW1yo/edit?usp=sharing"",""แม่ฮ่องสอน!I545"")"),0)</f>
        <v>0</v>
      </c>
      <c r="J650" s="536">
        <f ca="1">IFERROR(__xludf.DUMMYFUNCTION("IMPORTRANGE(""https://docs.google.com/spreadsheets/d/11923uPwbBZFjjGgGUA6NLw09EwE0CqkOc4q9oUmW1yo/edit?usp=sharing"",""แม่ฮ่องสอน!J545"")"),0)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IFERROR(__xludf.DUMMYFUNCTION("IMPORTRANGE(""https://docs.google.com/spreadsheets/d/11923uPwbBZFjjGgGUA6NLw09EwE0CqkOc4q9oUmW1yo/edit?usp=sharing"",""แม่ฮ่องสอน!L545"")"),0)</f>
        <v>0</v>
      </c>
      <c r="M650" s="521"/>
      <c r="N650" s="538">
        <f ca="1">IFERROR(__xludf.DUMMYFUNCTION("IMPORTRANGE(""https://docs.google.com/spreadsheets/d/11923uPwbBZFjjGgGUA6NLw09EwE0CqkOc4q9oUmW1yo/edit?usp=sharing"",""แม่ฮ่องสอน!M545"")"),0)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IFERROR(__xludf.DUMMYFUNCTION("IMPORTRANGE(""https://docs.google.com/spreadsheets/d/11923uPwbBZFjjGgGUA6NLw09EwE0CqkOc4q9oUmW1yo/edit?usp=sharing"",""แม่ฮ่องสอน!I546"")"),0)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IFERROR(__xludf.DUMMYFUNCTION("IMPORTRANGE(""https://docs.google.com/spreadsheets/d/11923uPwbBZFjjGgGUA6NLw09EwE0CqkOc4q9oUmW1yo/edit?usp=sharing"",""แม่ฮ่องสอน!L546"")"),0)</f>
        <v>0</v>
      </c>
      <c r="M651" s="521"/>
      <c r="N651" s="538">
        <f ca="1">IFERROR(__xludf.DUMMYFUNCTION("IMPORTRANGE(""https://docs.google.com/spreadsheets/d/11923uPwbBZFjjGgGUA6NLw09EwE0CqkOc4q9oUmW1yo/edit?usp=sharing"",""แม่ฮ่องสอน!M546"")"),0)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IFERROR(__xludf.DUMMYFUNCTION("IMPORTRANGE(""https://docs.google.com/spreadsheets/d/11923uPwbBZFjjGgGUA6NLw09EwE0CqkOc4q9oUmW1yo/edit?usp=sharing"",""แม่ฮ่องสอน!J547"")"),0)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IFERROR(__xludf.DUMMYFUNCTION("IMPORTRANGE(""https://docs.google.com/spreadsheets/d/11923uPwbBZFjjGgGUA6NLw09EwE0CqkOc4q9oUmW1yo/edit?usp=sharing"",""แม่ฮ่องสอน!J548"")"),0)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IFERROR(__xludf.DUMMYFUNCTION("IMPORTRANGE(""https://docs.google.com/spreadsheets/d/11923uPwbBZFjjGgGUA6NLw09EwE0CqkOc4q9oUmW1yo/edit?usp=sharing"",""แม่ฮ่องสอน!J550"")"),0)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IFERROR(__xludf.DUMMYFUNCTION("IMPORTRANGE(""https://docs.google.com/spreadsheets/d/11923uPwbBZFjjGgGUA6NLw09EwE0CqkOc4q9oUmW1yo/edit?usp=sharing"",""แม่ฮ่องสอน!J551"")"),0)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IFERROR(__xludf.DUMMYFUNCTION("IMPORTRANGE(""https://docs.google.com/spreadsheets/d/11923uPwbBZFjjGgGUA6NLw09EwE0CqkOc4q9oUmW1yo/edit?usp=sharing"",""แม่ฮ่องสอน!J552"")"),0)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IFERROR(__xludf.DUMMYFUNCTION("IMPORTRANGE(""https://docs.google.com/spreadsheets/d/11923uPwbBZFjjGgGUA6NLw09EwE0CqkOc4q9oUmW1yo/edit?usp=sharing"",""แม่ฮ่องสอน!J553"")"),0)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IFERROR(__xludf.DUMMYFUNCTION("IMPORTRANGE(""https://docs.google.com/spreadsheets/d/11923uPwbBZFjjGgGUA6NLw09EwE0CqkOc4q9oUmW1yo/edit?usp=sharing"",""แม่ฮ่องสอน!J554"")"),0)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IFERROR(__xludf.DUMMYFUNCTION("IMPORTRANGE(""https://docs.google.com/spreadsheets/d/11923uPwbBZFjjGgGUA6NLw09EwE0CqkOc4q9oUmW1yo/edit?usp=sharing"",""แม่ฮ่องสอน!J555"")"),0)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IFERROR(__xludf.DUMMYFUNCTION("IMPORTRANGE(""https://docs.google.com/spreadsheets/d/11923uPwbBZFjjGgGUA6NLw09EwE0CqkOc4q9oUmW1yo/edit?usp=sharing"",""แม่ฮ่องสอน!J556"")"),0)</f>
        <v>0</v>
      </c>
      <c r="K661" s="537"/>
      <c r="L661" s="522">
        <f ca="1">IFERROR(__xludf.DUMMYFUNCTION("IMPORTRANGE(""https://docs.google.com/spreadsheets/d/11923uPwbBZFjjGgGUA6NLw09EwE0CqkOc4q9oUmW1yo/edit?usp=sharing"",""แม่ฮ่องสอน!L556"")"),0)</f>
        <v>0</v>
      </c>
      <c r="M661" s="521"/>
      <c r="N661" s="538">
        <f ca="1">IFERROR(__xludf.DUMMYFUNCTION("IMPORTRANGE(""https://docs.google.com/spreadsheets/d/11923uPwbBZFjjGgGUA6NLw09EwE0CqkOc4q9oUmW1yo/edit?usp=sharing"",""แม่ฮ่องสอน!M556"")"),0)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IFERROR(__xludf.DUMMYFUNCTION("IMPORTRANGE(""https://docs.google.com/spreadsheets/d/11923uPwbBZFjjGgGUA6NLw09EwE0CqkOc4q9oUmW1yo/edit?usp=sharing"",""แม่ฮ่องสอน!J557"")"),0)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IFERROR(__xludf.DUMMYFUNCTION("IMPORTRANGE(""https://docs.google.com/spreadsheets/d/11923uPwbBZFjjGgGUA6NLw09EwE0CqkOc4q9oUmW1yo/edit?usp=sharing"",""แม่ฮ่องสอน!I558"")"),0)</f>
        <v>0</v>
      </c>
      <c r="J663" s="536">
        <f ca="1">IFERROR(__xludf.DUMMYFUNCTION("IMPORTRANGE(""https://docs.google.com/spreadsheets/d/11923uPwbBZFjjGgGUA6NLw09EwE0CqkOc4q9oUmW1yo/edit?usp=sharing"",""แม่ฮ่องสอน!J558"")"),0)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IFERROR(__xludf.DUMMYFUNCTION("IMPORTRANGE(""https://docs.google.com/spreadsheets/d/11923uPwbBZFjjGgGUA6NLw09EwE0CqkOc4q9oUmW1yo/edit?usp=sharing"",""แม่ฮ่องสอน!I560"")"),0)</f>
        <v>0</v>
      </c>
      <c r="J665" s="536">
        <f ca="1">IFERROR(__xludf.DUMMYFUNCTION("IMPORTRANGE(""https://docs.google.com/spreadsheets/d/11923uPwbBZFjjGgGUA6NLw09EwE0CqkOc4q9oUmW1yo/edit?usp=sharing"",""แม่ฮ่องสอน!J560"")"),0)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IFERROR(__xludf.DUMMYFUNCTION("IMPORTRANGE(""https://docs.google.com/spreadsheets/d/11923uPwbBZFjjGgGUA6NLw09EwE0CqkOc4q9oUmW1yo/edit?usp=sharing"",""แม่ฮ่องสอน!L560"")"),0)</f>
        <v>0</v>
      </c>
      <c r="M665" s="521"/>
      <c r="N665" s="538">
        <f ca="1">IFERROR(__xludf.DUMMYFUNCTION("IMPORTRANGE(""https://docs.google.com/spreadsheets/d/11923uPwbBZFjjGgGUA6NLw09EwE0CqkOc4q9oUmW1yo/edit?usp=sharing"",""แม่ฮ่องสอน!M560"")"),0)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IFERROR(__xludf.DUMMYFUNCTION("IMPORTRANGE(""https://docs.google.com/spreadsheets/d/11923uPwbBZFjjGgGUA6NLw09EwE0CqkOc4q9oUmW1yo/edit?usp=sharing"",""แม่ฮ่องสอน!J561"")"),0)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IFERROR(__xludf.DUMMYFUNCTION("IMPORTRANGE(""https://docs.google.com/spreadsheets/d/11923uPwbBZFjjGgGUA6NLw09EwE0CqkOc4q9oUmW1yo/edit?usp=sharing"",""แม่ฮ่องสอน!J562"")"),0)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IFERROR(__xludf.DUMMYFUNCTION("IMPORTRANGE(""https://docs.google.com/spreadsheets/d/11923uPwbBZFjjGgGUA6NLw09EwE0CqkOc4q9oUmW1yo/edit?usp=sharing"",""แม่ฮ่องสอน!I563"")"),0)</f>
        <v>0</v>
      </c>
      <c r="J668" s="536">
        <f ca="1">IFERROR(__xludf.DUMMYFUNCTION("IMPORTRANGE(""https://docs.google.com/spreadsheets/d/11923uPwbBZFjjGgGUA6NLw09EwE0CqkOc4q9oUmW1yo/edit?usp=sharing"",""แม่ฮ่องสอน!J563"")"),0)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IFERROR(__xludf.DUMMYFUNCTION("IMPORTRANGE(""https://docs.google.com/spreadsheets/d/11923uPwbBZFjjGgGUA6NLw09EwE0CqkOc4q9oUmW1yo/edit?usp=sharing"",""แม่ฮ่องสอน!L563"")"),0)</f>
        <v>0</v>
      </c>
      <c r="M668" s="521"/>
      <c r="N668" s="538">
        <f ca="1">IFERROR(__xludf.DUMMYFUNCTION("IMPORTRANGE(""https://docs.google.com/spreadsheets/d/11923uPwbBZFjjGgGUA6NLw09EwE0CqkOc4q9oUmW1yo/edit?usp=sharing"",""แม่ฮ่องสอน!M563"")"),0)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IFERROR(__xludf.DUMMYFUNCTION("IMPORTRANGE(""https://docs.google.com/spreadsheets/d/11923uPwbBZFjjGgGUA6NLw09EwE0CqkOc4q9oUmW1yo/edit?usp=sharing"",""แม่ฮ่องสอน!J564"")"),0)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IFERROR(__xludf.DUMMYFUNCTION("IMPORTRANGE(""https://docs.google.com/spreadsheets/d/11923uPwbBZFjjGgGUA6NLw09EwE0CqkOc4q9oUmW1yo/edit?usp=sharing"",""แม่ฮ่องสอน!J565"")"),0)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IFERROR(__xludf.DUMMYFUNCTION("IMPORTRANGE(""https://docs.google.com/spreadsheets/d/11923uPwbBZFjjGgGUA6NLw09EwE0CqkOc4q9oUmW1yo/edit?usp=sharing"",""แม่ฮ่องสอน!I566"")"),0)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IFERROR(__xludf.DUMMYFUNCTION("IMPORTRANGE(""https://docs.google.com/spreadsheets/d/11923uPwbBZFjjGgGUA6NLw09EwE0CqkOc4q9oUmW1yo/edit?usp=sharing"",""แม่ฮ่องสอน!L566"")"),0)</f>
        <v>0</v>
      </c>
      <c r="M671" s="521"/>
      <c r="N671" s="538">
        <f ca="1">IFERROR(__xludf.DUMMYFUNCTION("IMPORTRANGE(""https://docs.google.com/spreadsheets/d/11923uPwbBZFjjGgGUA6NLw09EwE0CqkOc4q9oUmW1yo/edit?usp=sharing"",""แม่ฮ่องสอน!M566"")"),0)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IFERROR(__xludf.DUMMYFUNCTION("IMPORTRANGE(""https://docs.google.com/spreadsheets/d/11923uPwbBZFjjGgGUA6NLw09EwE0CqkOc4q9oUmW1yo/edit?usp=sharing"",""แม่ฮ่องสอน!J567"")"),0)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IFERROR(__xludf.DUMMYFUNCTION("IMPORTRANGE(""https://docs.google.com/spreadsheets/d/11923uPwbBZFjjGgGUA6NLw09EwE0CqkOc4q9oUmW1yo/edit?usp=sharing"",""แม่ฮ่องสอน!J568"")"),0)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IFERROR(__xludf.DUMMYFUNCTION("IMPORTRANGE(""https://docs.google.com/spreadsheets/d/11923uPwbBZFjjGgGUA6NLw09EwE0CqkOc4q9oUmW1yo/edit?usp=sharing"",""แม่ฮ่องสอน!J569"")"),0)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IFERROR(__xludf.DUMMYFUNCTION("IMPORTRANGE(""https://docs.google.com/spreadsheets/d/11923uPwbBZFjjGgGUA6NLw09EwE0CqkOc4q9oUmW1yo/edit?usp=sharing"",""แม่ฮ่องสอน!J570"")"),0)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IFERROR(__xludf.DUMMYFUNCTION("IMPORTRANGE(""https://docs.google.com/spreadsheets/d/11923uPwbBZFjjGgGUA6NLw09EwE0CqkOc4q9oUmW1yo/edit?usp=sharing"",""แม่ฮ่องสอน!J571"")"),0)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IFERROR(__xludf.DUMMYFUNCTION("IMPORTRANGE(""https://docs.google.com/spreadsheets/d/11923uPwbBZFjjGgGUA6NLw09EwE0CqkOc4q9oUmW1yo/edit?usp=sharing"",""แม่ฮ่องสอน!J572"")"),0)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5439455</v>
      </c>
      <c r="M8" s="23">
        <f t="shared" ca="1" si="0"/>
        <v>2863814</v>
      </c>
      <c r="N8" s="23">
        <f t="shared" ca="1" si="0"/>
        <v>3528783.12</v>
      </c>
      <c r="O8" s="22">
        <f t="shared" ref="O8:O16" ca="1" si="1">IF(L8&gt;0,N8*100/L8,0)</f>
        <v>64.873836073650764</v>
      </c>
      <c r="P8" s="22">
        <f t="shared" ref="P8:P16" ca="1" si="2">IF(M8&gt;0,N8*100/M8,0)</f>
        <v>123.21970351426454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5439455</v>
      </c>
      <c r="M10" s="30">
        <f t="shared" ca="1" si="4"/>
        <v>2863814</v>
      </c>
      <c r="N10" s="30">
        <f t="shared" ca="1" si="4"/>
        <v>3528783.12</v>
      </c>
      <c r="O10" s="29">
        <f t="shared" ca="1" si="1"/>
        <v>64.873836073650764</v>
      </c>
      <c r="P10" s="29">
        <f t="shared" ca="1" si="2"/>
        <v>123.21970351426454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5202460</v>
      </c>
      <c r="M12" s="39">
        <f t="shared" ca="1" si="6"/>
        <v>2626819</v>
      </c>
      <c r="N12" s="39">
        <f t="shared" ca="1" si="6"/>
        <v>3318788.12</v>
      </c>
      <c r="O12" s="39">
        <f t="shared" ca="1" si="1"/>
        <v>63.792669621678975</v>
      </c>
      <c r="P12" s="39">
        <f t="shared" ca="1" si="2"/>
        <v>126.34247430066556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1833600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3368860</v>
      </c>
      <c r="M14" s="39">
        <f t="shared" si="8"/>
        <v>0</v>
      </c>
      <c r="N14" s="39">
        <f t="shared" ca="1" si="8"/>
        <v>1186551.6300000001</v>
      </c>
      <c r="O14" s="39">
        <f t="shared" ca="1" si="1"/>
        <v>35.221161757983417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236995</v>
      </c>
      <c r="M16" s="39">
        <f t="shared" ca="1" si="10"/>
        <v>236995</v>
      </c>
      <c r="N16" s="39">
        <f t="shared" ca="1" si="10"/>
        <v>209995</v>
      </c>
      <c r="O16" s="50">
        <f t="shared" ca="1" si="1"/>
        <v>88.607354585539781</v>
      </c>
      <c r="P16" s="50">
        <f t="shared" ca="1" si="2"/>
        <v>88.607354585539781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2792020</v>
      </c>
      <c r="M18" s="23">
        <f t="shared" ca="1" si="11"/>
        <v>2863814</v>
      </c>
      <c r="N18" s="23">
        <f t="shared" ca="1" si="11"/>
        <v>2342231.4899999998</v>
      </c>
      <c r="O18" s="22">
        <f t="shared" ref="O18:O20" ca="1" si="12">IF(L18&gt;0,N18*100/L18,0)</f>
        <v>83.890211746334188</v>
      </c>
      <c r="P18" s="22">
        <f t="shared" ref="P18:P26" ca="1" si="13">IF(M18&gt;0,N18*100/M18,0)</f>
        <v>81.787137362971194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2792020</v>
      </c>
      <c r="M20" s="30">
        <f t="shared" ca="1" si="15"/>
        <v>2863814</v>
      </c>
      <c r="N20" s="30">
        <f t="shared" ca="1" si="15"/>
        <v>2342231.4899999998</v>
      </c>
      <c r="O20" s="29">
        <f t="shared" ca="1" si="12"/>
        <v>83.890211746334188</v>
      </c>
      <c r="P20" s="29">
        <f t="shared" ca="1" si="13"/>
        <v>81.787137362971194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2555025</v>
      </c>
      <c r="M22" s="42">
        <f t="shared" ca="1" si="18"/>
        <v>2626819</v>
      </c>
      <c r="N22" s="39">
        <f t="shared" ca="1" si="18"/>
        <v>2132236.4899999998</v>
      </c>
      <c r="O22" s="39">
        <f t="shared" ca="1" si="17"/>
        <v>83.452666412266012</v>
      </c>
      <c r="P22" s="39">
        <f t="shared" ca="1" si="13"/>
        <v>81.171808563894189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1833600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721425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236995</v>
      </c>
      <c r="M26" s="50">
        <f t="shared" ca="1" si="22"/>
        <v>236995</v>
      </c>
      <c r="N26" s="50">
        <f t="shared" ca="1" si="22"/>
        <v>209995</v>
      </c>
      <c r="O26" s="50">
        <f t="shared" ca="1" si="17"/>
        <v>88.607354585539781</v>
      </c>
      <c r="P26" s="50">
        <f t="shared" ca="1" si="13"/>
        <v>88.607354585539781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2647435</v>
      </c>
      <c r="M28" s="23">
        <f t="shared" si="23"/>
        <v>0</v>
      </c>
      <c r="N28" s="23">
        <f t="shared" ca="1" si="23"/>
        <v>1186551.6300000001</v>
      </c>
      <c r="O28" s="22">
        <f t="shared" ref="O28:O30" ca="1" si="24">IF(L28&gt;0,N28*100/L28,0)</f>
        <v>44.818914534256749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2647435</v>
      </c>
      <c r="M30" s="30">
        <f t="shared" si="27"/>
        <v>0</v>
      </c>
      <c r="N30" s="30">
        <f t="shared" ca="1" si="27"/>
        <v>1186551.6300000001</v>
      </c>
      <c r="O30" s="29">
        <f t="shared" ca="1" si="24"/>
        <v>44.818914534256749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2647435</v>
      </c>
      <c r="M32" s="39">
        <f t="shared" si="30"/>
        <v>0</v>
      </c>
      <c r="N32" s="39">
        <f t="shared" ca="1" si="30"/>
        <v>1186551.6300000001</v>
      </c>
      <c r="O32" s="39">
        <f t="shared" ca="1" si="29"/>
        <v>44.818914534256749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2647435</v>
      </c>
      <c r="M34" s="39">
        <f t="shared" si="32"/>
        <v>0</v>
      </c>
      <c r="N34" s="39">
        <f t="shared" ca="1" si="32"/>
        <v>1186551.6300000001</v>
      </c>
      <c r="O34" s="39">
        <f t="shared" ca="1" si="29"/>
        <v>44.818914534256749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2792020</v>
      </c>
      <c r="M37" s="55">
        <f t="shared" ca="1" si="33"/>
        <v>2863814</v>
      </c>
      <c r="N37" s="55">
        <f t="shared" ca="1" si="33"/>
        <v>2342231.4899999998</v>
      </c>
      <c r="O37" s="56">
        <f t="shared" ca="1" si="29"/>
        <v>83.890211746334188</v>
      </c>
      <c r="P37" s="56">
        <f t="shared" ca="1" si="25"/>
        <v>81.787137362971194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644400</v>
      </c>
      <c r="N41" s="79">
        <f t="shared" ca="1" si="34"/>
        <v>556993.24</v>
      </c>
      <c r="O41" s="78">
        <f t="shared" ref="O41:O43" ca="1" si="35">IF(L41&gt;0,N41*100/L41,0)</f>
        <v>86.435946617008071</v>
      </c>
      <c r="P41" s="78">
        <f t="shared" ref="P41:P43" ca="1" si="36">IF(M41&gt;0,N41*100/M41,0)</f>
        <v>86.435946617008071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644400</v>
      </c>
      <c r="N43" s="79">
        <f t="shared" ca="1" si="38"/>
        <v>556993.24</v>
      </c>
      <c r="O43" s="78">
        <f t="shared" ca="1" si="35"/>
        <v>86.435946617008071</v>
      </c>
      <c r="P43" s="78">
        <f t="shared" ca="1" si="36"/>
        <v>86.435946617008071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644400</v>
      </c>
      <c r="M45" s="50">
        <f ca="1">IFERROR(__xludf.DUMMYFUNCTION("IMPORTRANGE(""https://docs.google.com/spreadsheets/d/1Yj_ptqi66GCucihVvJfMjLAmec39IyEx_6qawtMGysU/edit?usp=sharing"",""สบก!Q32"")"),644400)</f>
        <v>644400</v>
      </c>
      <c r="N45" s="50">
        <f ca="1">IFERROR(__xludf.DUMMYFUNCTION("IMPORTRANGE(""https://docs.google.com/spreadsheets/d/1Yj_ptqi66GCucihVvJfMjLAmec39IyEx_6qawtMGysU/edit?usp=sharing"",""สบก!R32"")"),556993.24)</f>
        <v>556993.24</v>
      </c>
      <c r="O45" s="39">
        <f ca="1">IF(L45&gt;0,N45*100/L45,0)</f>
        <v>86.435946617008071</v>
      </c>
      <c r="P45" s="39">
        <f ca="1">IF(M45&gt;0,N45*100/M45,0)</f>
        <v>86.435946617008071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IFERROR(__xludf.DUMMYFUNCTION("IMPORTRANGE(""https://docs.google.com/spreadsheets/d/1Yj_ptqi66GCucihVvJfMjLAmec39IyEx_6qawtMGysU/edit?usp=sharing"",""สบก!M32"")"),644400)</f>
        <v>644400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566000</v>
      </c>
      <c r="M53" s="121">
        <f t="shared" ca="1" si="39"/>
        <v>543894</v>
      </c>
      <c r="N53" s="121">
        <f t="shared" ca="1" si="39"/>
        <v>445894</v>
      </c>
      <c r="O53" s="120">
        <f t="shared" ref="O53:O55" ca="1" si="40">IF(L53&gt;0,N53*100/L53,0)</f>
        <v>78.779858657243821</v>
      </c>
      <c r="P53" s="120">
        <f t="shared" ref="P53:P55" ca="1" si="41">IF(M53&gt;0,N53*100/M53,0)</f>
        <v>81.981783215111761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566000</v>
      </c>
      <c r="M55" s="121">
        <f t="shared" ca="1" si="43"/>
        <v>543894</v>
      </c>
      <c r="N55" s="121">
        <f t="shared" ca="1" si="43"/>
        <v>445894</v>
      </c>
      <c r="O55" s="120">
        <f t="shared" ca="1" si="40"/>
        <v>78.779858657243821</v>
      </c>
      <c r="P55" s="120">
        <f t="shared" ca="1" si="41"/>
        <v>81.981783215111761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566000</v>
      </c>
      <c r="M57" s="50">
        <f ca="1">IFERROR(__xludf.DUMMYFUNCTION("IMPORTRANGE(""https://docs.google.com/spreadsheets/d/1Yj_ptqi66GCucihVvJfMjLAmec39IyEx_6qawtMGysU/edit?usp=sharing"",""สบก!Z32"")"),543894)</f>
        <v>543894</v>
      </c>
      <c r="N57" s="50">
        <f ca="1">IFERROR(__xludf.DUMMYFUNCTION("IMPORTRANGE(""https://docs.google.com/spreadsheets/d/1Yj_ptqi66GCucihVvJfMjLAmec39IyEx_6qawtMGysU/edit?usp=sharing"",""สบก!AA32"")"),445894)</f>
        <v>445894</v>
      </c>
      <c r="O57" s="39">
        <f ca="1">IF(L57&gt;0,N57*100/L57,0)</f>
        <v>78.779858657243821</v>
      </c>
      <c r="P57" s="39">
        <f ca="1">IF(M57&gt;0,N57*100/M57,0)</f>
        <v>81.981783215111761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IFERROR(__xludf.DUMMYFUNCTION("IMPORTRANGE(""https://docs.google.com/spreadsheets/d/1Yj_ptqi66GCucihVvJfMjLAmec39IyEx_6qawtMGysU/edit?usp=sharing"",""สบก!V32"")"),566000)</f>
        <v>566000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28700</v>
      </c>
      <c r="N66" s="152">
        <f t="shared" ca="1" si="45"/>
        <v>20160</v>
      </c>
      <c r="O66" s="151">
        <f t="shared" ref="O66:O68" ca="1" si="46">IF(L66&gt;0,N66*100/L66,0)</f>
        <v>0</v>
      </c>
      <c r="P66" s="151">
        <f t="shared" ref="P66:P68" ca="1" si="47">IF(M66&gt;0,N66*100/M66,0)</f>
        <v>70.243902439024396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28700</v>
      </c>
      <c r="N68" s="88">
        <f t="shared" ca="1" si="49"/>
        <v>20160</v>
      </c>
      <c r="O68" s="156">
        <f t="shared" ca="1" si="46"/>
        <v>0</v>
      </c>
      <c r="P68" s="156">
        <f t="shared" ca="1" si="47"/>
        <v>70.243902439024396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IFERROR(__xludf.DUMMYFUNCTION("IMPORTRANGE(""https://docs.google.com/spreadsheets/d/1Yj_ptqi66GCucihVvJfMjLAmec39IyEx_6qawtMGysU/edit?usp=sharing"",""สบก!AI32"")"),28700)</f>
        <v>28700</v>
      </c>
      <c r="N70" s="168">
        <f ca="1">IFERROR(__xludf.DUMMYFUNCTION("IMPORTRANGE(""https://docs.google.com/spreadsheets/d/1Yj_ptqi66GCucihVvJfMjLAmec39IyEx_6qawtMGysU/edit?usp=sharing"",""สบก!AJ32"")"),20160)</f>
        <v>20160</v>
      </c>
      <c r="O70" s="168">
        <f ca="1">IF(L70&gt;0,N70*100/L70,0)</f>
        <v>0</v>
      </c>
      <c r="P70" s="168">
        <f ca="1">IF(M70&gt;0,N70*100/M70,0)</f>
        <v>70.243902439024396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212095</v>
      </c>
      <c r="M94" s="152">
        <f t="shared" ca="1" si="52"/>
        <v>212095</v>
      </c>
      <c r="N94" s="152">
        <f t="shared" ca="1" si="52"/>
        <v>194665</v>
      </c>
      <c r="O94" s="151">
        <f t="shared" ref="O94:O96" ca="1" si="53">IF(L94&gt;0,N94*100/L94,0)</f>
        <v>91.781984488083168</v>
      </c>
      <c r="P94" s="151">
        <f t="shared" ref="P94:P96" ca="1" si="54">IF(M94&gt;0,N94*100/M94,0)</f>
        <v>91.781984488083168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212095</v>
      </c>
      <c r="M96" s="88">
        <f t="shared" ca="1" si="56"/>
        <v>212095</v>
      </c>
      <c r="N96" s="88">
        <f t="shared" ca="1" si="56"/>
        <v>194665</v>
      </c>
      <c r="O96" s="156">
        <f t="shared" ca="1" si="53"/>
        <v>91.781984488083168</v>
      </c>
      <c r="P96" s="156">
        <f t="shared" ca="1" si="54"/>
        <v>91.781984488083168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IFERROR(__xludf.DUMMYFUNCTION("IMPORTRANGE(""https://docs.google.com/spreadsheets/d/1Yj_ptqi66GCucihVvJfMjLAmec39IyEx_6qawtMGysU/edit?usp=sharing"",""สบก!AR32"")"),122100)</f>
        <v>122100</v>
      </c>
      <c r="N98" s="168">
        <f ca="1">IFERROR(__xludf.DUMMYFUNCTION("IMPORTRANGE(""https://docs.google.com/spreadsheets/d/1Yj_ptqi66GCucihVvJfMjLAmec39IyEx_6qawtMGysU/edit?usp=sharing"",""สบก!AS32"")"),104670)</f>
        <v>104670</v>
      </c>
      <c r="O98" s="168">
        <f ca="1">IF(L98&gt;0,N98*100/L98,0)</f>
        <v>85.724815724815727</v>
      </c>
      <c r="P98" s="168">
        <f ca="1">IF(M98&gt;0,N98*100/M98,0)</f>
        <v>85.724815724815727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116600</v>
      </c>
      <c r="M140" s="152">
        <f t="shared" ca="1" si="64"/>
        <v>124600</v>
      </c>
      <c r="N140" s="152">
        <f t="shared" ca="1" si="64"/>
        <v>97788</v>
      </c>
      <c r="O140" s="151">
        <f t="shared" ref="O140:O142" ca="1" si="65">IF(L140&gt;0,N140*100/L140,0)</f>
        <v>83.866209262435675</v>
      </c>
      <c r="P140" s="151">
        <f t="shared" ref="P140:P142" ca="1" si="66">IF(M140&gt;0,N140*100/M140,0)</f>
        <v>78.481540930979136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116600</v>
      </c>
      <c r="M142" s="88">
        <f t="shared" ca="1" si="68"/>
        <v>124600</v>
      </c>
      <c r="N142" s="88">
        <f t="shared" ca="1" si="68"/>
        <v>97788</v>
      </c>
      <c r="O142" s="156">
        <f t="shared" ca="1" si="65"/>
        <v>83.866209262435675</v>
      </c>
      <c r="P142" s="156">
        <f t="shared" ca="1" si="66"/>
        <v>78.481540930979136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116600</v>
      </c>
      <c r="M144" s="167">
        <f ca="1">IFERROR(__xludf.DUMMYFUNCTION("IMPORTRANGE(""https://docs.google.com/spreadsheets/d/1Yj_ptqi66GCucihVvJfMjLAmec39IyEx_6qawtMGysU/edit?usp=sharing"",""สบก!BJ32"")"),124600)</f>
        <v>124600</v>
      </c>
      <c r="N144" s="168">
        <f ca="1">IFERROR(__xludf.DUMMYFUNCTION("IMPORTRANGE(""https://docs.google.com/spreadsheets/d/1Yj_ptqi66GCucihVvJfMjLAmec39IyEx_6qawtMGysU/edit?usp=sharing"",""สบก!BK32"")"),97788)</f>
        <v>97788</v>
      </c>
      <c r="O144" s="168">
        <f ca="1">IF(L144&gt;0,N144*100/L144,0)</f>
        <v>83.866209262435675</v>
      </c>
      <c r="P144" s="168">
        <f ca="1">IF(M144&gt;0,N144*100/M144,0)</f>
        <v>78.481540930979136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IFERROR(__xludf.DUMMYFUNCTION("IMPORTRANGE(""https://docs.google.com/spreadsheets/d/1Yj_ptqi66GCucihVvJfMjLAmec39IyEx_6qawtMGysU/edit?usp=sharing"",""สบก!BG32"")"),116600)</f>
        <v>116600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201200</v>
      </c>
      <c r="N271" s="152">
        <f t="shared" ca="1" si="83"/>
        <v>132983.67000000001</v>
      </c>
      <c r="O271" s="151">
        <f t="shared" ref="O271:O273" ca="1" si="84">IF(L271&gt;0,N271*100/L271,0)</f>
        <v>71.038285256410262</v>
      </c>
      <c r="P271" s="151">
        <f t="shared" ref="P271:P273" ca="1" si="85">IF(M271&gt;0,N271*100/M271,0)</f>
        <v>66.095263419483118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201200</v>
      </c>
      <c r="N273" s="88">
        <f t="shared" ca="1" si="87"/>
        <v>132983.67000000001</v>
      </c>
      <c r="O273" s="156">
        <f t="shared" ca="1" si="84"/>
        <v>71.038285256410262</v>
      </c>
      <c r="P273" s="156">
        <f t="shared" ca="1" si="85"/>
        <v>66.095263419483118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IFERROR(__xludf.DUMMYFUNCTION("IMPORTRANGE(""https://docs.google.com/spreadsheets/d/1Yj_ptqi66GCucihVvJfMjLAmec39IyEx_6qawtMGysU/edit?usp=sharing"",""สบก!CK32"")"),201200)</f>
        <v>201200</v>
      </c>
      <c r="N275" s="168">
        <f ca="1">IFERROR(__xludf.DUMMYFUNCTION("IMPORTRANGE(""https://docs.google.com/spreadsheets/d/1Yj_ptqi66GCucihVvJfMjLAmec39IyEx_6qawtMGysU/edit?usp=sharing"",""สบก!CL32"")"),132983.67)</f>
        <v>132983.67000000001</v>
      </c>
      <c r="O275" s="168">
        <f ca="1">IF(L275&gt;0,N275*100/L275,0)</f>
        <v>71.038285256410262</v>
      </c>
      <c r="P275" s="168">
        <f ca="1">IF(M275&gt;0,N275*100/M275,0)</f>
        <v>66.095263419483118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IFERROR(__xludf.DUMMYFUNCTION("IMPORTRANGE(""https://docs.google.com/spreadsheets/d/11923uPwbBZFjjGgGUA6NLw09EwE0CqkOc4q9oUmW1yo/edit?usp=sharing"",""ลำปาง!J228"")"),284)</f>
        <v>284</v>
      </c>
      <c r="K328" s="317">
        <f ca="1">IF(I328&gt;0,J328*100/I328,0)</f>
        <v>71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1044600</v>
      </c>
      <c r="M329" s="152">
        <f t="shared" ca="1" si="98"/>
        <v>1087800</v>
      </c>
      <c r="N329" s="152">
        <f t="shared" ca="1" si="98"/>
        <v>872622.58</v>
      </c>
      <c r="O329" s="151">
        <f t="shared" ref="O329:O331" ca="1" si="99">IF(L329&gt;0,N329*100/L329,0)</f>
        <v>83.536528814857363</v>
      </c>
      <c r="P329" s="151">
        <f t="shared" ref="P329:P331" ca="1" si="100">IF(M329&gt;0,N329*100/M329,0)</f>
        <v>80.219027394741687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1044600</v>
      </c>
      <c r="M331" s="88">
        <f t="shared" ca="1" si="102"/>
        <v>1087800</v>
      </c>
      <c r="N331" s="88">
        <f t="shared" ca="1" si="102"/>
        <v>872622.58</v>
      </c>
      <c r="O331" s="156">
        <f t="shared" ca="1" si="99"/>
        <v>83.536528814857363</v>
      </c>
      <c r="P331" s="156">
        <f t="shared" ca="1" si="100"/>
        <v>80.219027394741687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IFERROR(__xludf.DUMMYFUNCTION("IMPORTRANGE(""https://docs.google.com/spreadsheets/d/1Yj_ptqi66GCucihVvJfMjLAmec39IyEx_6qawtMGysU/edit?usp=sharing"",""สบก!DL32"")"),940800)</f>
        <v>940800</v>
      </c>
      <c r="N333" s="168">
        <f ca="1">IFERROR(__xludf.DUMMYFUNCTION("IMPORTRANGE(""https://docs.google.com/spreadsheets/d/1Yj_ptqi66GCucihVvJfMjLAmec39IyEx_6qawtMGysU/edit?usp=sharing"",""สบก!DM32"")"),752622.58)</f>
        <v>752622.58</v>
      </c>
      <c r="O333" s="168">
        <f ca="1">IF(L333&gt;0,N333*100/L333,0)</f>
        <v>83.848326648841351</v>
      </c>
      <c r="P333" s="168">
        <f ca="1">IF(M333&gt;0,N333*100/M333,0)</f>
        <v>79.99814838435374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81.632653061224488</v>
      </c>
      <c r="P337" s="50">
        <f ca="1">IF(M337&gt;0,N337*100/M337,0)</f>
        <v>81.632653061224488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IFERROR(__xludf.DUMMYFUNCTION("IMPORTRANGE(""https://docs.google.com/spreadsheets/d/11923uPwbBZFjjGgGUA6NLw09EwE0CqkOc4q9oUmW1yo/edit?usp=sharing"",""ลำปาง!J234"")"),323)</f>
        <v>323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IFERROR(__xludf.DUMMYFUNCTION("IMPORTRANGE(""https://docs.google.com/spreadsheets/d/11923uPwbBZFjjGgGUA6NLw09EwE0CqkOc4q9oUmW1yo/edit?usp=sharing"",""ลำปาง!J235"")"),1756.29)</f>
        <v>1756.29</v>
      </c>
      <c r="K340" s="342">
        <f t="shared" ca="1" si="103"/>
        <v>103.31117647058824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IFERROR(__xludf.DUMMYFUNCTION("IMPORTRANGE(""https://docs.google.com/spreadsheets/d/11923uPwbBZFjjGgGUA6NLw09EwE0CqkOc4q9oUmW1yo/edit?usp=sharing"",""ลำปาง!J236"")"),471)</f>
        <v>471</v>
      </c>
      <c r="K341" s="342">
        <f t="shared" ca="1" si="103"/>
        <v>117.75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IFERROR(__xludf.DUMMYFUNCTION("IMPORTRANGE(""https://docs.google.com/spreadsheets/d/11923uPwbBZFjjGgGUA6NLw09EwE0CqkOc4q9oUmW1yo/edit?usp=sharing"",""ลำปาง!J237"")"),2807.42)</f>
        <v>2807.42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IFERROR(__xludf.DUMMYFUNCTION("IMPORTRANGE(""https://docs.google.com/spreadsheets/d/11923uPwbBZFjjGgGUA6NLw09EwE0CqkOc4q9oUmW1yo/edit?usp=sharing"",""ลำปาง!J240"")"),284)</f>
        <v>284</v>
      </c>
      <c r="K345" s="342">
        <f t="shared" ca="1" si="103"/>
        <v>71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IFERROR(__xludf.DUMMYFUNCTION("IMPORTRANGE(""https://docs.google.com/spreadsheets/d/11923uPwbBZFjjGgGUA6NLw09EwE0CqkOc4q9oUmW1yo/edit?usp=sharing"",""ลำปาง!J241"")"),1643.08)</f>
        <v>1643.08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IFERROR(__xludf.DUMMYFUNCTION("IMPORTRANGE(""https://docs.google.com/spreadsheets/d/11923uPwbBZFjjGgGUA6NLw09EwE0CqkOc4q9oUmW1yo/edit?usp=sharing"",""ลำปาง!L242"")"),2647435)</f>
        <v>2647435</v>
      </c>
      <c r="M347" s="357"/>
      <c r="N347" s="357">
        <f ca="1">IFERROR(__xludf.DUMMYFUNCTION("IMPORTRANGE(""https://docs.google.com/spreadsheets/d/11923uPwbBZFjjGgGUA6NLw09EwE0CqkOc4q9oUmW1yo/edit?usp=sharing"",""ลำปาง!M242"")"),1186551.63)</f>
        <v>1186551.6299999999</v>
      </c>
      <c r="O347" s="357">
        <f ca="1">+IF(L347&gt;0,N347*100/L347,0)</f>
        <v>44.818914534256734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IFERROR(__xludf.DUMMYFUNCTION("IMPORTRANGE(""https://docs.google.com/spreadsheets/d/11923uPwbBZFjjGgGUA6NLw09EwE0CqkOc4q9oUmW1yo/edit?usp=sharing"",""ลำปาง!L244"")"),230720)</f>
        <v>230720</v>
      </c>
      <c r="M349" s="372"/>
      <c r="N349" s="372">
        <f ca="1">IFERROR(__xludf.DUMMYFUNCTION("IMPORTRANGE(""https://docs.google.com/spreadsheets/d/11923uPwbBZFjjGgGUA6NLw09EwE0CqkOc4q9oUmW1yo/edit?usp=sharing"",""ลำปาง!M244"")"),156023.4)</f>
        <v>156023.4</v>
      </c>
      <c r="O349" s="372">
        <f ca="1">+IF(L349&gt;0,N349*100/L349,0)</f>
        <v>67.62456657420249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IFERROR(__xludf.DUMMYFUNCTION("IMPORTRANGE(""https://docs.google.com/spreadsheets/d/11923uPwbBZFjjGgGUA6NLw09EwE0CqkOc4q9oUmW1yo/edit?usp=sharing"",""ลำปาง!M247"")"),156023.4)</f>
        <v>156023.4</v>
      </c>
      <c r="O352" s="165">
        <f t="shared" ca="1" si="105"/>
        <v>67.62456657420249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IFERROR(__xludf.DUMMYFUNCTION("IMPORTRANGE(""https://docs.google.com/spreadsheets/d/11923uPwbBZFjjGgGUA6NLw09EwE0CqkOc4q9oUmW1yo/edit?usp=sharing"",""ลำปาง!M249"")"),156023.4)</f>
        <v>156023.4</v>
      </c>
      <c r="O354" s="168">
        <f t="shared" ca="1" si="105"/>
        <v>67.62456657420249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IFERROR(__xludf.DUMMYFUNCTION("IMPORTRANGE(""https://docs.google.com/spreadsheets/d/11923uPwbBZFjjGgGUA6NLw09EwE0CqkOc4q9oUmW1yo/edit?usp=sharing"",""ลำปาง!M252"")"),84333.4)</f>
        <v>84333.4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IFERROR(__xludf.DUMMYFUNCTION("IMPORTRANGE(""https://docs.google.com/spreadsheets/d/11923uPwbBZFjjGgGUA6NLw09EwE0CqkOc4q9oUmW1yo/edit?usp=sharing"",""ลำปาง!M253"")"),15490)</f>
        <v>15490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IFERROR(__xludf.DUMMYFUNCTION("IMPORTRANGE(""https://docs.google.com/spreadsheets/d/11923uPwbBZFjjGgGUA6NLw09EwE0CqkOc4q9oUmW1yo/edit?usp=sharing"",""ลำปาง!M275"")"),326568.38)</f>
        <v>326568.38</v>
      </c>
      <c r="O380" s="372">
        <f ca="1">+IF(L380&gt;0,N380*100/L380,0)</f>
        <v>31.751291175669895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IFERROR(__xludf.DUMMYFUNCTION("IMPORTRANGE(""https://docs.google.com/spreadsheets/d/11923uPwbBZFjjGgGUA6NLw09EwE0CqkOc4q9oUmW1yo/edit?usp=sharing"",""ลำปาง!M278"")"),326568.38)</f>
        <v>326568.38</v>
      </c>
      <c r="O383" s="165">
        <f t="shared" ca="1" si="109"/>
        <v>31.751291175669895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IFERROR(__xludf.DUMMYFUNCTION("IMPORTRANGE(""https://docs.google.com/spreadsheets/d/11923uPwbBZFjjGgGUA6NLw09EwE0CqkOc4q9oUmW1yo/edit?usp=sharing"",""ลำปาง!M280"")"),326568.38)</f>
        <v>326568.38</v>
      </c>
      <c r="O385" s="168">
        <f t="shared" ca="1" si="109"/>
        <v>31.751291175669895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IFERROR(__xludf.DUMMYFUNCTION("IMPORTRANGE(""https://docs.google.com/spreadsheets/d/11923uPwbBZFjjGgGUA6NLw09EwE0CqkOc4q9oUmW1yo/edit?usp=sharing"",""ลำปาง!M283"")"),85433.38)</f>
        <v>85433.38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IFERROR(__xludf.DUMMYFUNCTION("IMPORTRANGE(""https://docs.google.com/spreadsheets/d/11923uPwbBZFjjGgGUA6NLw09EwE0CqkOc4q9oUmW1yo/edit?usp=sharing"",""ลำปาง!M284"")"),43135)</f>
        <v>43135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IFERROR(__xludf.DUMMYFUNCTION("IMPORTRANGE(""https://docs.google.com/spreadsheets/d/11923uPwbBZFjjGgGUA6NLw09EwE0CqkOc4q9oUmW1yo/edit?usp=sharing"",""ลำปาง!M296"")"),100010)</f>
        <v>100010</v>
      </c>
      <c r="O401" s="372">
        <f ca="1">+IF(L401&gt;0,N401*100/L401,0)</f>
        <v>69.182346430547867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IFERROR(__xludf.DUMMYFUNCTION("IMPORTRANGE(""https://docs.google.com/spreadsheets/d/11923uPwbBZFjjGgGUA6NLw09EwE0CqkOc4q9oUmW1yo/edit?usp=sharing"",""ลำปาง!M299"")"),100010)</f>
        <v>100010</v>
      </c>
      <c r="O404" s="168">
        <f t="shared" ca="1" si="112"/>
        <v>69.182346430547867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IFERROR(__xludf.DUMMYFUNCTION("IMPORTRANGE(""https://docs.google.com/spreadsheets/d/11923uPwbBZFjjGgGUA6NLw09EwE0CqkOc4q9oUmW1yo/edit?usp=sharing"",""ลำปาง!M301"")"),100010)</f>
        <v>100010</v>
      </c>
      <c r="O406" s="168">
        <f t="shared" ca="1" si="112"/>
        <v>69.182346430547867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IFERROR(__xludf.DUMMYFUNCTION("IMPORTRANGE(""https://docs.google.com/spreadsheets/d/11923uPwbBZFjjGgGUA6NLw09EwE0CqkOc4q9oUmW1yo/edit?usp=sharing"",""ลำปาง!M302"")"),88200)</f>
        <v>88200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IFERROR(__xludf.DUMMYFUNCTION("IMPORTRANGE(""https://docs.google.com/spreadsheets/d/11923uPwbBZFjjGgGUA6NLw09EwE0CqkOc4q9oUmW1yo/edit?usp=sharing"",""ลำปาง!M305"")"),11810)</f>
        <v>11810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IFERROR(__xludf.DUMMYFUNCTION("IMPORTRANGE(""https://docs.google.com/spreadsheets/d/11923uPwbBZFjjGgGUA6NLw09EwE0CqkOc4q9oUmW1yo/edit?usp=sharing"",""ลำปาง!M330"")"),67960.39)</f>
        <v>67960.39</v>
      </c>
      <c r="O435" s="411">
        <f t="shared" ref="O435:O439" ca="1" si="114">+IF(L435&gt;0,N435*100/L435,0)</f>
        <v>64.113575471698113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IFERROR(__xludf.DUMMYFUNCTION("IMPORTRANGE(""https://docs.google.com/spreadsheets/d/11923uPwbBZFjjGgGUA6NLw09EwE0CqkOc4q9oUmW1yo/edit?usp=sharing"",""ลำปาง!M332"")"),67960.39)</f>
        <v>67960.39</v>
      </c>
      <c r="O437" s="168">
        <f t="shared" ca="1" si="114"/>
        <v>64.113575471698113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IFERROR(__xludf.DUMMYFUNCTION("IMPORTRANGE(""https://docs.google.com/spreadsheets/d/11923uPwbBZFjjGgGUA6NLw09EwE0CqkOc4q9oUmW1yo/edit?usp=sharing"",""ลำปาง!M334"")"),67960.39)</f>
        <v>67960.39</v>
      </c>
      <c r="O439" s="168">
        <f t="shared" ca="1" si="114"/>
        <v>64.113575471698113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IFERROR(__xludf.DUMMYFUNCTION("IMPORTRANGE(""https://docs.google.com/spreadsheets/d/11923uPwbBZFjjGgGUA6NLw09EwE0CqkOc4q9oUmW1yo/edit?usp=sharing"",""ลำปาง!M335"")"),52200)</f>
        <v>52200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IFERROR(__xludf.DUMMYFUNCTION("IMPORTRANGE(""https://docs.google.com/spreadsheets/d/11923uPwbBZFjjGgGUA6NLw09EwE0CqkOc4q9oUmW1yo/edit?usp=sharing"",""ลำปาง!M338"")"),15760.39)</f>
        <v>15760.39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IFERROR(__xludf.DUMMYFUNCTION("IMPORTRANGE(""https://docs.google.com/spreadsheets/d/11923uPwbBZFjjGgGUA6NLw09EwE0CqkOc4q9oUmW1yo/edit?usp=sharing"",""ลำปาง!J350"")"),44746)</f>
        <v>44746</v>
      </c>
      <c r="K455" s="371">
        <f ca="1">IF(I455&gt;0,J455*100/I455,0)</f>
        <v>100.00446987305561</v>
      </c>
      <c r="L455" s="372">
        <f ca="1">IFERROR(__xludf.DUMMYFUNCTION("IMPORTRANGE(""https://docs.google.com/spreadsheets/d/11923uPwbBZFjjGgGUA6NLw09EwE0CqkOc4q9oUmW1yo/edit?usp=sharing"",""ลำปาง!L350"")"),616700)</f>
        <v>616700</v>
      </c>
      <c r="M455" s="372"/>
      <c r="N455" s="372">
        <f ca="1">IFERROR(__xludf.DUMMYFUNCTION("IMPORTRANGE(""https://docs.google.com/spreadsheets/d/11923uPwbBZFjjGgGUA6NLw09EwE0CqkOc4q9oUmW1yo/edit?usp=sharing"",""ลำปาง!M350"")"),302001.58)</f>
        <v>302001.58</v>
      </c>
      <c r="O455" s="372">
        <f t="shared" ref="O455:O459" ca="1" si="116">+IF(L455&gt;0,N455*100/L455,0)</f>
        <v>48.970582130695639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IFERROR(__xludf.DUMMYFUNCTION("IMPORTRANGE(""https://docs.google.com/spreadsheets/d/11923uPwbBZFjjGgGUA6NLw09EwE0CqkOc4q9oUmW1yo/edit?usp=sharing"",""ลำปาง!L352"")"),616700)</f>
        <v>616700</v>
      </c>
      <c r="M457" s="165"/>
      <c r="N457" s="168">
        <f ca="1">IFERROR(__xludf.DUMMYFUNCTION("IMPORTRANGE(""https://docs.google.com/spreadsheets/d/11923uPwbBZFjjGgGUA6NLw09EwE0CqkOc4q9oUmW1yo/edit?usp=sharing"",""ลำปาง!M352"")"),302001.58)</f>
        <v>302001.58</v>
      </c>
      <c r="O457" s="168">
        <f t="shared" ca="1" si="116"/>
        <v>48.970582130695639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IFERROR(__xludf.DUMMYFUNCTION("IMPORTRANGE(""https://docs.google.com/spreadsheets/d/11923uPwbBZFjjGgGUA6NLw09EwE0CqkOc4q9oUmW1yo/edit?usp=sharing"",""ลำปาง!L354"")"),616700)</f>
        <v>616700</v>
      </c>
      <c r="M459" s="168"/>
      <c r="N459" s="168">
        <f ca="1">IFERROR(__xludf.DUMMYFUNCTION("IMPORTRANGE(""https://docs.google.com/spreadsheets/d/11923uPwbBZFjjGgGUA6NLw09EwE0CqkOc4q9oUmW1yo/edit?usp=sharing"",""ลำปาง!M354"")"),302001.58)</f>
        <v>302001.58</v>
      </c>
      <c r="O459" s="168">
        <f t="shared" ca="1" si="116"/>
        <v>48.970582130695639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IFERROR(__xludf.DUMMYFUNCTION("IMPORTRANGE(""https://docs.google.com/spreadsheets/d/11923uPwbBZFjjGgGUA6NLw09EwE0CqkOc4q9oUmW1yo/edit?usp=sharing"",""ลำปาง!M357"")"),85433.38)</f>
        <v>85433.38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IFERROR(__xludf.DUMMYFUNCTION("IMPORTRANGE(""https://docs.google.com/spreadsheets/d/11923uPwbBZFjjGgGUA6NLw09EwE0CqkOc4q9oUmW1yo/edit?usp=sharing"",""ลำปาง!M358"")"),216568.2)</f>
        <v>216568.2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IFERROR(__xludf.DUMMYFUNCTION("IMPORTRANGE(""https://docs.google.com/spreadsheets/d/11923uPwbBZFjjGgGUA6NLw09EwE0CqkOc4q9oUmW1yo/edit?usp=sharing"",""ลำปาง!J359"")"),44746)</f>
        <v>44746</v>
      </c>
      <c r="K464" s="268">
        <f t="shared" ref="K464:K515" ca="1" si="117">IF(I464&gt;0,J464*100/I464,0)</f>
        <v>100.00446987305561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IFERROR(__xludf.DUMMYFUNCTION("IMPORTRANGE(""https://docs.google.com/spreadsheets/d/11923uPwbBZFjjGgGUA6NLw09EwE0CqkOc4q9oUmW1yo/edit?usp=sharing"",""ลำปาง!J376"")"),44746)</f>
        <v>44746</v>
      </c>
      <c r="K481" s="201">
        <f t="shared" ca="1" si="117"/>
        <v>100.00446987305561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IFERROR(__xludf.DUMMYFUNCTION("IMPORTRANGE(""https://docs.google.com/spreadsheets/d/11923uPwbBZFjjGgGUA6NLw09EwE0CqkOc4q9oUmW1yo/edit?usp=sharing"",""ลำปาง!J377"")"),10122)</f>
        <v>10122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IFERROR(__xludf.DUMMYFUNCTION("IMPORTRANGE(""https://docs.google.com/spreadsheets/d/11923uPwbBZFjjGgGUA6NLw09EwE0CqkOc4q9oUmW1yo/edit?usp=sharing"",""ลำปาง!J378"")"),39170)</f>
        <v>39170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IFERROR(__xludf.DUMMYFUNCTION("IMPORTRANGE(""https://docs.google.com/spreadsheets/d/11923uPwbBZFjjGgGUA6NLw09EwE0CqkOc4q9oUmW1yo/edit?usp=sharing"",""ลำปาง!J379"")"),9220)</f>
        <v>9220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IFERROR(__xludf.DUMMYFUNCTION("IMPORTRANGE(""https://docs.google.com/spreadsheets/d/11923uPwbBZFjjGgGUA6NLw09EwE0CqkOc4q9oUmW1yo/edit?usp=sharing"",""ลำปาง!J380"")"),4086)</f>
        <v>4086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IFERROR(__xludf.DUMMYFUNCTION("IMPORTRANGE(""https://docs.google.com/spreadsheets/d/11923uPwbBZFjjGgGUA6NLw09EwE0CqkOc4q9oUmW1yo/edit?usp=sharing"",""ลำปาง!J381"")"),596)</f>
        <v>596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IFERROR(__xludf.DUMMYFUNCTION("IMPORTRANGE(""https://docs.google.com/spreadsheets/d/11923uPwbBZFjjGgGUA6NLw09EwE0CqkOc4q9oUmW1yo/edit?usp=sharing"",""ลำปาง!J382"")"),1490)</f>
        <v>1490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IFERROR(__xludf.DUMMYFUNCTION("IMPORTRANGE(""https://docs.google.com/spreadsheets/d/11923uPwbBZFjjGgGUA6NLw09EwE0CqkOc4q9oUmW1yo/edit?usp=sharing"",""ลำปาง!J383"")"),306)</f>
        <v>306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IFERROR(__xludf.DUMMYFUNCTION("IMPORTRANGE(""https://docs.google.com/spreadsheets/d/11923uPwbBZFjjGgGUA6NLw09EwE0CqkOc4q9oUmW1yo/edit?usp=sharing"",""ลำปาง!J384"")"),1471)</f>
        <v>1471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IFERROR(__xludf.DUMMYFUNCTION("IMPORTRANGE(""https://docs.google.com/spreadsheets/d/11923uPwbBZFjjGgGUA6NLw09EwE0CqkOc4q9oUmW1yo/edit?usp=sharing"",""ลำปาง!J385"")"),303)</f>
        <v>303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IFERROR(__xludf.DUMMYFUNCTION("IMPORTRANGE(""https://docs.google.com/spreadsheets/d/11923uPwbBZFjjGgGUA6NLw09EwE0CqkOc4q9oUmW1yo/edit?usp=sharing"",""ลำปาง!J386"")"),19)</f>
        <v>19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IFERROR(__xludf.DUMMYFUNCTION("IMPORTRANGE(""https://docs.google.com/spreadsheets/d/11923uPwbBZFjjGgGUA6NLw09EwE0CqkOc4q9oUmW1yo/edit?usp=sharing"",""ลำปาง!J392"")"),2837)</f>
        <v>2837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IFERROR(__xludf.DUMMYFUNCTION("IMPORTRANGE(""https://docs.google.com/spreadsheets/d/11923uPwbBZFjjGgGUA6NLw09EwE0CqkOc4q9oUmW1yo/edit?usp=sharing"",""ลำปาง!J393"")"),2837)</f>
        <v>2837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IFERROR(__xludf.DUMMYFUNCTION("IMPORTRANGE(""https://docs.google.com/spreadsheets/d/11923uPwbBZFjjGgGUA6NLw09EwE0CqkOc4q9oUmW1yo/edit?usp=sharing"",""ลำปาง!J394"")"),353)</f>
        <v>353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IFERROR(__xludf.DUMMYFUNCTION("IMPORTRANGE(""https://docs.google.com/spreadsheets/d/11923uPwbBZFjjGgGUA6NLw09EwE0CqkOc4q9oUmW1yo/edit?usp=sharing"",""ลำปาง!J395"")"),2837)</f>
        <v>2837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IFERROR(__xludf.DUMMYFUNCTION("IMPORTRANGE(""https://docs.google.com/spreadsheets/d/11923uPwbBZFjjGgGUA6NLw09EwE0CqkOc4q9oUmW1yo/edit?usp=sharing"",""ลำปาง!J396"")"),353)</f>
        <v>353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IFERROR(__xludf.DUMMYFUNCTION("IMPORTRANGE(""https://docs.google.com/spreadsheets/d/11923uPwbBZFjjGgGUA6NLw09EwE0CqkOc4q9oUmW1yo/edit?usp=sharing"",""ลำปาง!J397"")"),2776)</f>
        <v>2776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IFERROR(__xludf.DUMMYFUNCTION("IMPORTRANGE(""https://docs.google.com/spreadsheets/d/11923uPwbBZFjjGgGUA6NLw09EwE0CqkOc4q9oUmW1yo/edit?usp=sharing"",""ลำปาง!J398"")"),341)</f>
        <v>341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IFERROR(__xludf.DUMMYFUNCTION("IMPORTRANGE(""https://docs.google.com/spreadsheets/d/11923uPwbBZFjjGgGUA6NLw09EwE0CqkOc4q9oUmW1yo/edit?usp=sharing"",""ลำปาง!J399"")"),61)</f>
        <v>61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IFERROR(__xludf.DUMMYFUNCTION("IMPORTRANGE(""https://docs.google.com/spreadsheets/d/11923uPwbBZFjjGgGUA6NLw09EwE0CqkOc4q9oUmW1yo/edit?usp=sharing"",""ลำปาง!J420"")"),54)</f>
        <v>54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IFERROR(__xludf.DUMMYFUNCTION("IMPORTRANGE(""https://docs.google.com/spreadsheets/d/11923uPwbBZFjjGgGUA6NLw09EwE0CqkOc4q9oUmW1yo/edit?usp=sharing"",""ลำปาง!J421"")"),6)</f>
        <v>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IFERROR(__xludf.DUMMYFUNCTION("IMPORTRANGE(""https://docs.google.com/spreadsheets/d/11923uPwbBZFjjGgGUA6NLw09EwE0CqkOc4q9oUmW1yo/edit?usp=sharing"",""ลำปาง!J422"")"),42)</f>
        <v>42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IFERROR(__xludf.DUMMYFUNCTION("IMPORTRANGE(""https://docs.google.com/spreadsheets/d/11923uPwbBZFjjGgGUA6NLw09EwE0CqkOc4q9oUmW1yo/edit?usp=sharing"",""ลำปาง!J425"")"),4)</f>
        <v>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IFERROR(__xludf.DUMMYFUNCTION("IMPORTRANGE(""https://docs.google.com/spreadsheets/d/11923uPwbBZFjjGgGUA6NLw09EwE0CqkOc4q9oUmW1yo/edit?usp=sharing"",""ลำปาง!M428"")"),34340)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IFERROR(__xludf.DUMMYFUNCTION("IMPORTRANGE(""https://docs.google.com/spreadsheets/d/11923uPwbBZFjjGgGUA6NLw09EwE0CqkOc4q9oUmW1yo/edit?usp=sharing"",""ลำปาง!J446"")"),2568)</f>
        <v>2568</v>
      </c>
      <c r="K551" s="410">
        <f ca="1">IF(I551&gt;0,J551*100/I551,0)</f>
        <v>85.6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IFERROR(__xludf.DUMMYFUNCTION("IMPORTRANGE(""https://docs.google.com/spreadsheets/d/11923uPwbBZFjjGgGUA6NLw09EwE0CqkOc4q9oUmW1yo/edit?usp=sharing"",""ลำปาง!M446"")"),97212.84)</f>
        <v>97212.84</v>
      </c>
      <c r="O551" s="411">
        <f t="shared" ref="O551:O555" ca="1" si="120">+IF(L551&gt;0,N551*100/L551,0)</f>
        <v>51.708957446808512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IFERROR(__xludf.DUMMYFUNCTION("IMPORTRANGE(""https://docs.google.com/spreadsheets/d/11923uPwbBZFjjGgGUA6NLw09EwE0CqkOc4q9oUmW1yo/edit?usp=sharing"",""ลำปาง!M448"")"),97212.84)</f>
        <v>97212.84</v>
      </c>
      <c r="O553" s="168">
        <f t="shared" ca="1" si="120"/>
        <v>51.708957446808512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IFERROR(__xludf.DUMMYFUNCTION("IMPORTRANGE(""https://docs.google.com/spreadsheets/d/11923uPwbBZFjjGgGUA6NLw09EwE0CqkOc4q9oUmW1yo/edit?usp=sharing"",""ลำปาง!M450"")"),97212.84)</f>
        <v>97212.84</v>
      </c>
      <c r="O555" s="168">
        <f t="shared" ca="1" si="120"/>
        <v>51.708957446808512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IFERROR(__xludf.DUMMYFUNCTION("IMPORTRANGE(""https://docs.google.com/spreadsheets/d/11923uPwbBZFjjGgGUA6NLw09EwE0CqkOc4q9oUmW1yo/edit?usp=sharing"",""ลำปาง!M453"")"),37170)</f>
        <v>37170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IFERROR(__xludf.DUMMYFUNCTION("IMPORTRANGE(""https://docs.google.com/spreadsheets/d/11923uPwbBZFjjGgGUA6NLw09EwE0CqkOc4q9oUmW1yo/edit?usp=sharing"",""ลำปาง!M454"")"),60042.84)</f>
        <v>60042.84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IFERROR(__xludf.DUMMYFUNCTION("IMPORTRANGE(""https://docs.google.com/spreadsheets/d/11923uPwbBZFjjGgGUA6NLw09EwE0CqkOc4q9oUmW1yo/edit?usp=sharing"",""ลำปาง!J455"")"),2568)</f>
        <v>2568</v>
      </c>
      <c r="K560" s="224">
        <f t="shared" ref="K560:K561" ca="1" si="121">IF(I560&gt;0,J560*100/I560,0)</f>
        <v>85.6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IFERROR(__xludf.DUMMYFUNCTION("IMPORTRANGE(""https://docs.google.com/spreadsheets/d/11923uPwbBZFjjGgGUA6NLw09EwE0CqkOc4q9oUmW1yo/edit?usp=sharing"",""ลำปาง!J456"")"),296)</f>
        <v>296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IFERROR(__xludf.DUMMYFUNCTION("IMPORTRANGE(""https://docs.google.com/spreadsheets/d/11923uPwbBZFjjGgGUA6NLw09EwE0CqkOc4q9oUmW1yo/edit?usp=sharing"",""ลำปาง!J459"")"),2676)</f>
        <v>2676</v>
      </c>
      <c r="K564" s="371">
        <f ca="1">IF(I564&gt;0,J564*100/I564,0)</f>
        <v>148.66666666666666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IFERROR(__xludf.DUMMYFUNCTION("IMPORTRANGE(""https://docs.google.com/spreadsheets/d/11923uPwbBZFjjGgGUA6NLw09EwE0CqkOc4q9oUmW1yo/edit?usp=sharing"",""ลำปาง!M459"")"),95080.04)</f>
        <v>95080.04</v>
      </c>
      <c r="O564" s="372">
        <f t="shared" ref="O564:O568" ca="1" si="122">+IF(L564&gt;0,N564*100/L564,0)</f>
        <v>65.554357418643136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IFERROR(__xludf.DUMMYFUNCTION("IMPORTRANGE(""https://docs.google.com/spreadsheets/d/11923uPwbBZFjjGgGUA6NLw09EwE0CqkOc4q9oUmW1yo/edit?usp=sharing"",""ลำปาง!M461"")"),95080.04)</f>
        <v>95080.04</v>
      </c>
      <c r="O566" s="168">
        <f t="shared" ca="1" si="122"/>
        <v>65.554357418643136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IFERROR(__xludf.DUMMYFUNCTION("IMPORTRANGE(""https://docs.google.com/spreadsheets/d/11923uPwbBZFjjGgGUA6NLw09EwE0CqkOc4q9oUmW1yo/edit?usp=sharing"",""ลำปาง!M463"")"),95080.04)</f>
        <v>95080.04</v>
      </c>
      <c r="O568" s="168">
        <f t="shared" ca="1" si="122"/>
        <v>65.554357418643136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IFERROR(__xludf.DUMMYFUNCTION("IMPORTRANGE(""https://docs.google.com/spreadsheets/d/11923uPwbBZFjjGgGUA6NLw09EwE0CqkOc4q9oUmW1yo/edit?usp=sharing"",""ลำปาง!M466"")"),63800.04)</f>
        <v>63800.04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IFERROR(__xludf.DUMMYFUNCTION("IMPORTRANGE(""https://docs.google.com/spreadsheets/d/11923uPwbBZFjjGgGUA6NLw09EwE0CqkOc4q9oUmW1yo/edit?usp=sharing"",""ลำปาง!M467"")"),31280)</f>
        <v>31280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IFERROR(__xludf.DUMMYFUNCTION("IMPORTRANGE(""https://docs.google.com/spreadsheets/d/11923uPwbBZFjjGgGUA6NLw09EwE0CqkOc4q9oUmW1yo/edit?usp=sharing"",""ลำปาง!J468"")"),2676)</f>
        <v>2676</v>
      </c>
      <c r="K573" s="201">
        <f ca="1">IF(I573&gt;0,J573*100/I573,0)</f>
        <v>148.66666666666666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IFERROR(__xludf.DUMMYFUNCTION("IMPORTRANGE(""https://docs.google.com/spreadsheets/d/11923uPwbBZFjjGgGUA6NLw09EwE0CqkOc4q9oUmW1yo/edit?usp=sharing"",""ลำปาง!J471"")"),257)</f>
        <v>257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IFERROR(__xludf.DUMMYFUNCTION("IMPORTRANGE(""https://docs.google.com/spreadsheets/d/11923uPwbBZFjjGgGUA6NLw09EwE0CqkOc4q9oUmW1yo/edit?usp=sharing"",""ลำปาง!J472"")"),2419)</f>
        <v>2419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IFERROR(__xludf.DUMMYFUNCTION("IMPORTRANGE(""https://docs.google.com/spreadsheets/d/11923uPwbBZFjjGgGUA6NLw09EwE0CqkOc4q9oUmW1yo/edit?usp=sharing"",""ลำปาง!J475"")"),4)</f>
        <v>4</v>
      </c>
      <c r="K580" s="371">
        <f ca="1">IF(I580&gt;0,J580*100/I580,0)</f>
        <v>80</v>
      </c>
      <c r="L580" s="372">
        <f ca="1">IFERROR(__xludf.DUMMYFUNCTION("IMPORTRANGE(""https://docs.google.com/spreadsheets/d/11923uPwbBZFjjGgGUA6NLw09EwE0CqkOc4q9oUmW1yo/edit?usp=sharing"",""ลำปาง!L475"")"),144655)</f>
        <v>144655</v>
      </c>
      <c r="M580" s="372"/>
      <c r="N580" s="372">
        <f ca="1">IFERROR(__xludf.DUMMYFUNCTION("IMPORTRANGE(""https://docs.google.com/spreadsheets/d/11923uPwbBZFjjGgGUA6NLw09EwE0CqkOc4q9oUmW1yo/edit?usp=sharing"",""ลำปาง!M475"")"),3955)</f>
        <v>3955</v>
      </c>
      <c r="O580" s="372">
        <f t="shared" ref="O580:O584" ca="1" si="124">+IF(L580&gt;0,N580*100/L580,0)</f>
        <v>2.7340914589886283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IFERROR(__xludf.DUMMYFUNCTION("IMPORTRANGE(""https://docs.google.com/spreadsheets/d/11923uPwbBZFjjGgGUA6NLw09EwE0CqkOc4q9oUmW1yo/edit?usp=sharing"",""ลำปาง!L477"")"),144655)</f>
        <v>144655</v>
      </c>
      <c r="M582" s="165"/>
      <c r="N582" s="168">
        <f ca="1">IFERROR(__xludf.DUMMYFUNCTION("IMPORTRANGE(""https://docs.google.com/spreadsheets/d/11923uPwbBZFjjGgGUA6NLw09EwE0CqkOc4q9oUmW1yo/edit?usp=sharing"",""ลำปาง!M477"")"),3955)</f>
        <v>3955</v>
      </c>
      <c r="O582" s="168">
        <f t="shared" ca="1" si="124"/>
        <v>2.7340914589886283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IFERROR(__xludf.DUMMYFUNCTION("IMPORTRANGE(""https://docs.google.com/spreadsheets/d/11923uPwbBZFjjGgGUA6NLw09EwE0CqkOc4q9oUmW1yo/edit?usp=sharing"",""ลำปาง!L479"")"),144655)</f>
        <v>144655</v>
      </c>
      <c r="M584" s="168"/>
      <c r="N584" s="168">
        <f ca="1">IFERROR(__xludf.DUMMYFUNCTION("IMPORTRANGE(""https://docs.google.com/spreadsheets/d/11923uPwbBZFjjGgGUA6NLw09EwE0CqkOc4q9oUmW1yo/edit?usp=sharing"",""ลำปาง!M479"")"),3955)</f>
        <v>3955</v>
      </c>
      <c r="O584" s="168">
        <f t="shared" ca="1" si="124"/>
        <v>2.7340914589886283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IFERROR(__xludf.DUMMYFUNCTION("IMPORTRANGE(""https://docs.google.com/spreadsheets/d/11923uPwbBZFjjGgGUA6NLw09EwE0CqkOc4q9oUmW1yo/edit?usp=sharing"",""ลำปาง!M483"")"),3955)</f>
        <v>3955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IFERROR(__xludf.DUMMYFUNCTION("IMPORTRANGE(""https://docs.google.com/spreadsheets/d/11923uPwbBZFjjGgGUA6NLw09EwE0CqkOc4q9oUmW1yo/edit?usp=sharing"",""ลำปาง!J486"")"),9)</f>
        <v>9</v>
      </c>
      <c r="K591" s="163">
        <f t="shared" ca="1" si="125"/>
        <v>180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IFERROR(__xludf.DUMMYFUNCTION("IMPORTRANGE(""https://docs.google.com/spreadsheets/d/11923uPwbBZFjjGgGUA6NLw09EwE0CqkOc4q9oUmW1yo/edit?usp=sharing"",""ลำปาง!J487"")"),6.46)</f>
        <v>6.46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IFERROR(__xludf.DUMMYFUNCTION("IMPORTRANGE(""https://docs.google.com/spreadsheets/d/11923uPwbBZFjjGgGUA6NLw09EwE0CqkOc4q9oUmW1yo/edit?usp=sharing"",""ลำปาง!J488"")"),2)</f>
        <v>2</v>
      </c>
      <c r="K593" s="163">
        <f t="shared" ca="1" si="125"/>
        <v>40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IFERROR(__xludf.DUMMYFUNCTION("IMPORTRANGE(""https://docs.google.com/spreadsheets/d/11923uPwbBZFjjGgGUA6NLw09EwE0CqkOc4q9oUmW1yo/edit?usp=sharing"",""ลำปาง!J489"")"),1.48)</f>
        <v>1.48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IFERROR(__xludf.DUMMYFUNCTION("IMPORTRANGE(""https://docs.google.com/spreadsheets/d/11923uPwbBZFjjGgGUA6NLw09EwE0CqkOc4q9oUmW1yo/edit?usp=sharing"",""ลำปาง!J491"")"),3.23)</f>
        <v>3.23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8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IFERROR(__xludf.DUMMYFUNCTION("IMPORTRANGE(""https://docs.google.com/spreadsheets/d/11923uPwbBZFjjGgGUA6NLw09EwE0CqkOc4q9oUmW1yo/edit?usp=sharing"",""ลำปาง!L492"")"),8900)</f>
        <v>8900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38.202247191011239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IFERROR(__xludf.DUMMYFUNCTION("IMPORTRANGE(""https://docs.google.com/spreadsheets/d/11923uPwbBZFjjGgGUA6NLw09EwE0CqkOc4q9oUmW1yo/edit?usp=sharing"",""ลำปาง!J523"")"),7095485.47)</f>
        <v>7095485.4699999997</v>
      </c>
      <c r="K628" s="342">
        <f t="shared" ref="K628:K635" ca="1" si="129">IF(I628&gt;0,J628*100/I628,0)</f>
        <v>88.245959168461951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IFERROR(__xludf.DUMMYFUNCTION("IMPORTRANGE(""https://docs.google.com/spreadsheets/d/11923uPwbBZFjjGgGUA6NLw09EwE0CqkOc4q9oUmW1yo/edit?usp=sharing"",""ลำปาง!J524"")"),268)</f>
        <v>268</v>
      </c>
      <c r="K629" s="342">
        <f t="shared" ca="1" si="129"/>
        <v>84.276729559748432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IFERROR(__xludf.DUMMYFUNCTION("IMPORTRANGE(""https://docs.google.com/spreadsheets/d/11923uPwbBZFjjGgGUA6NLw09EwE0CqkOc4q9oUmW1yo/edit?usp=sharing"",""ลำปาง!J525"")"),3535.53)</f>
        <v>3535.53</v>
      </c>
      <c r="K630" s="342">
        <f t="shared" ca="1" si="129"/>
        <v>20.424110817841353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IFERROR(__xludf.DUMMYFUNCTION("IMPORTRANGE(""https://docs.google.com/spreadsheets/d/11923uPwbBZFjjGgGUA6NLw09EwE0CqkOc4q9oUmW1yo/edit?usp=sharing"",""ลำปาง!J529"")"),6665000)</f>
        <v>6665000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IFERROR(__xludf.DUMMYFUNCTION("IMPORTRANGE(""https://docs.google.com/spreadsheets/d/11923uPwbBZFjjGgGUA6NLw09EwE0CqkOc4q9oUmW1yo/edit?usp=sharing"",""ลำปาง!I530"")"),173)</f>
        <v>173</v>
      </c>
      <c r="J635" s="505">
        <f ca="1">IFERROR(__xludf.DUMMYFUNCTION("IMPORTRANGE(""https://docs.google.com/spreadsheets/d/11923uPwbBZFjjGgGUA6NLw09EwE0CqkOc4q9oUmW1yo/edit?usp=sharing"",""ลำปาง!J530"")"),189)</f>
        <v>189</v>
      </c>
      <c r="K635" s="487">
        <f t="shared" ca="1" si="129"/>
        <v>109.2485549132948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IFERROR(__xludf.DUMMYFUNCTION("IMPORTRANGE(""https://docs.google.com/spreadsheets/d/11923uPwbBZFjjGgGUA6NLw09EwE0CqkOc4q9oUmW1yo/edit?usp=sharing"",""ลำปาง!J541"")"),0)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IFERROR(__xludf.DUMMYFUNCTION("IMPORTRANGE(""https://docs.google.com/spreadsheets/d/11923uPwbBZFjjGgGUA6NLw09EwE0CqkOc4q9oUmW1yo/edit?usp=sharing"",""ลำปาง!J542"")"),0)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IFERROR(__xludf.DUMMYFUNCTION("IMPORTRANGE(""https://docs.google.com/spreadsheets/d/11923uPwbBZFjjGgGUA6NLw09EwE0CqkOc4q9oUmW1yo/edit?usp=sharing"",""ลำปาง!I543"")"),0)</f>
        <v>0</v>
      </c>
      <c r="J648" s="536">
        <f ca="1">IFERROR(__xludf.DUMMYFUNCTION("IMPORTRANGE(""https://docs.google.com/spreadsheets/d/11923uPwbBZFjjGgGUA6NLw09EwE0CqkOc4q9oUmW1yo/edit?usp=sharing"",""ลำปาง!J543"")"),0)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IFERROR(__xludf.DUMMYFUNCTION("IMPORTRANGE(""https://docs.google.com/spreadsheets/d/11923uPwbBZFjjGgGUA6NLw09EwE0CqkOc4q9oUmW1yo/edit?usp=sharing"",""ลำปาง!L543"")"),0)</f>
        <v>0</v>
      </c>
      <c r="M648" s="521"/>
      <c r="N648" s="538">
        <f ca="1">IFERROR(__xludf.DUMMYFUNCTION("IMPORTRANGE(""https://docs.google.com/spreadsheets/d/11923uPwbBZFjjGgGUA6NLw09EwE0CqkOc4q9oUmW1yo/edit?usp=sharing"",""ลำปาง!M543"")"),0)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IFERROR(__xludf.DUMMYFUNCTION("IMPORTRANGE(""https://docs.google.com/spreadsheets/d/11923uPwbBZFjjGgGUA6NLw09EwE0CqkOc4q9oUmW1yo/edit?usp=sharing"",""ลำปาง!I544"")"),0)</f>
        <v>0</v>
      </c>
      <c r="J649" s="536">
        <f ca="1">IFERROR(__xludf.DUMMYFUNCTION("IMPORTRANGE(""https://docs.google.com/spreadsheets/d/11923uPwbBZFjjGgGUA6NLw09EwE0CqkOc4q9oUmW1yo/edit?usp=sharing"",""ลำปาง!J544"")"),0)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IFERROR(__xludf.DUMMYFUNCTION("IMPORTRANGE(""https://docs.google.com/spreadsheets/d/11923uPwbBZFjjGgGUA6NLw09EwE0CqkOc4q9oUmW1yo/edit?usp=sharing"",""ลำปาง!L544"")"),0)</f>
        <v>0</v>
      </c>
      <c r="M649" s="521"/>
      <c r="N649" s="538">
        <f ca="1">IFERROR(__xludf.DUMMYFUNCTION("IMPORTRANGE(""https://docs.google.com/spreadsheets/d/11923uPwbBZFjjGgGUA6NLw09EwE0CqkOc4q9oUmW1yo/edit?usp=sharing"",""ลำปาง!M544"")"),0)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IFERROR(__xludf.DUMMYFUNCTION("IMPORTRANGE(""https://docs.google.com/spreadsheets/d/11923uPwbBZFjjGgGUA6NLw09EwE0CqkOc4q9oUmW1yo/edit?usp=sharing"",""ลำปาง!I545"")"),0)</f>
        <v>0</v>
      </c>
      <c r="J650" s="536">
        <f ca="1">IFERROR(__xludf.DUMMYFUNCTION("IMPORTRANGE(""https://docs.google.com/spreadsheets/d/11923uPwbBZFjjGgGUA6NLw09EwE0CqkOc4q9oUmW1yo/edit?usp=sharing"",""ลำปาง!J545"")"),0)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IFERROR(__xludf.DUMMYFUNCTION("IMPORTRANGE(""https://docs.google.com/spreadsheets/d/11923uPwbBZFjjGgGUA6NLw09EwE0CqkOc4q9oUmW1yo/edit?usp=sharing"",""ลำปาง!L545"")"),0)</f>
        <v>0</v>
      </c>
      <c r="M650" s="521"/>
      <c r="N650" s="538">
        <f ca="1">IFERROR(__xludf.DUMMYFUNCTION("IMPORTRANGE(""https://docs.google.com/spreadsheets/d/11923uPwbBZFjjGgGUA6NLw09EwE0CqkOc4q9oUmW1yo/edit?usp=sharing"",""ลำปาง!M545"")"),0)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IFERROR(__xludf.DUMMYFUNCTION("IMPORTRANGE(""https://docs.google.com/spreadsheets/d/11923uPwbBZFjjGgGUA6NLw09EwE0CqkOc4q9oUmW1yo/edit?usp=sharing"",""ลำปาง!I546"")"),0)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IFERROR(__xludf.DUMMYFUNCTION("IMPORTRANGE(""https://docs.google.com/spreadsheets/d/11923uPwbBZFjjGgGUA6NLw09EwE0CqkOc4q9oUmW1yo/edit?usp=sharing"",""ลำปาง!L546"")"),0)</f>
        <v>0</v>
      </c>
      <c r="M651" s="521"/>
      <c r="N651" s="538">
        <f ca="1">IFERROR(__xludf.DUMMYFUNCTION("IMPORTRANGE(""https://docs.google.com/spreadsheets/d/11923uPwbBZFjjGgGUA6NLw09EwE0CqkOc4q9oUmW1yo/edit?usp=sharing"",""ลำปาง!M546"")"),0)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IFERROR(__xludf.DUMMYFUNCTION("IMPORTRANGE(""https://docs.google.com/spreadsheets/d/11923uPwbBZFjjGgGUA6NLw09EwE0CqkOc4q9oUmW1yo/edit?usp=sharing"",""ลำปาง!J547"")"),0)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IFERROR(__xludf.DUMMYFUNCTION("IMPORTRANGE(""https://docs.google.com/spreadsheets/d/11923uPwbBZFjjGgGUA6NLw09EwE0CqkOc4q9oUmW1yo/edit?usp=sharing"",""ลำปาง!J548"")"),0)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IFERROR(__xludf.DUMMYFUNCTION("IMPORTRANGE(""https://docs.google.com/spreadsheets/d/11923uPwbBZFjjGgGUA6NLw09EwE0CqkOc4q9oUmW1yo/edit?usp=sharing"",""ลำปาง!J550"")"),0)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IFERROR(__xludf.DUMMYFUNCTION("IMPORTRANGE(""https://docs.google.com/spreadsheets/d/11923uPwbBZFjjGgGUA6NLw09EwE0CqkOc4q9oUmW1yo/edit?usp=sharing"",""ลำปาง!J551"")"),0)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IFERROR(__xludf.DUMMYFUNCTION("IMPORTRANGE(""https://docs.google.com/spreadsheets/d/11923uPwbBZFjjGgGUA6NLw09EwE0CqkOc4q9oUmW1yo/edit?usp=sharing"",""ลำปาง!J552"")"),0)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IFERROR(__xludf.DUMMYFUNCTION("IMPORTRANGE(""https://docs.google.com/spreadsheets/d/11923uPwbBZFjjGgGUA6NLw09EwE0CqkOc4q9oUmW1yo/edit?usp=sharing"",""ลำปาง!J553"")"),0)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IFERROR(__xludf.DUMMYFUNCTION("IMPORTRANGE(""https://docs.google.com/spreadsheets/d/11923uPwbBZFjjGgGUA6NLw09EwE0CqkOc4q9oUmW1yo/edit?usp=sharing"",""ลำปาง!J554"")"),0)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IFERROR(__xludf.DUMMYFUNCTION("IMPORTRANGE(""https://docs.google.com/spreadsheets/d/11923uPwbBZFjjGgGUA6NLw09EwE0CqkOc4q9oUmW1yo/edit?usp=sharing"",""ลำปาง!J555"")"),0)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IFERROR(__xludf.DUMMYFUNCTION("IMPORTRANGE(""https://docs.google.com/spreadsheets/d/11923uPwbBZFjjGgGUA6NLw09EwE0CqkOc4q9oUmW1yo/edit?usp=sharing"",""ลำปาง!J556"")"),0)</f>
        <v>0</v>
      </c>
      <c r="K661" s="537"/>
      <c r="L661" s="522">
        <f ca="1">IFERROR(__xludf.DUMMYFUNCTION("IMPORTRANGE(""https://docs.google.com/spreadsheets/d/11923uPwbBZFjjGgGUA6NLw09EwE0CqkOc4q9oUmW1yo/edit?usp=sharing"",""ลำปาง!L556"")"),0)</f>
        <v>0</v>
      </c>
      <c r="M661" s="521"/>
      <c r="N661" s="538">
        <f ca="1">IFERROR(__xludf.DUMMYFUNCTION("IMPORTRANGE(""https://docs.google.com/spreadsheets/d/11923uPwbBZFjjGgGUA6NLw09EwE0CqkOc4q9oUmW1yo/edit?usp=sharing"",""ลำปาง!M556"")"),0)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IFERROR(__xludf.DUMMYFUNCTION("IMPORTRANGE(""https://docs.google.com/spreadsheets/d/11923uPwbBZFjjGgGUA6NLw09EwE0CqkOc4q9oUmW1yo/edit?usp=sharing"",""ลำปาง!J557"")"),0)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IFERROR(__xludf.DUMMYFUNCTION("IMPORTRANGE(""https://docs.google.com/spreadsheets/d/11923uPwbBZFjjGgGUA6NLw09EwE0CqkOc4q9oUmW1yo/edit?usp=sharing"",""ลำปาง!I558"")"),0)</f>
        <v>0</v>
      </c>
      <c r="J663" s="536">
        <f ca="1">IFERROR(__xludf.DUMMYFUNCTION("IMPORTRANGE(""https://docs.google.com/spreadsheets/d/11923uPwbBZFjjGgGUA6NLw09EwE0CqkOc4q9oUmW1yo/edit?usp=sharing"",""ลำปาง!J558"")"),0)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IFERROR(__xludf.DUMMYFUNCTION("IMPORTRANGE(""https://docs.google.com/spreadsheets/d/11923uPwbBZFjjGgGUA6NLw09EwE0CqkOc4q9oUmW1yo/edit?usp=sharing"",""ลำปาง!I560"")"),0)</f>
        <v>0</v>
      </c>
      <c r="J665" s="536">
        <f ca="1">IFERROR(__xludf.DUMMYFUNCTION("IMPORTRANGE(""https://docs.google.com/spreadsheets/d/11923uPwbBZFjjGgGUA6NLw09EwE0CqkOc4q9oUmW1yo/edit?usp=sharing"",""ลำปาง!J560"")"),0)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IFERROR(__xludf.DUMMYFUNCTION("IMPORTRANGE(""https://docs.google.com/spreadsheets/d/11923uPwbBZFjjGgGUA6NLw09EwE0CqkOc4q9oUmW1yo/edit?usp=sharing"",""ลำปาง!L560"")"),0)</f>
        <v>0</v>
      </c>
      <c r="M665" s="521"/>
      <c r="N665" s="538">
        <f ca="1">IFERROR(__xludf.DUMMYFUNCTION("IMPORTRANGE(""https://docs.google.com/spreadsheets/d/11923uPwbBZFjjGgGUA6NLw09EwE0CqkOc4q9oUmW1yo/edit?usp=sharing"",""ลำปาง!M560"")"),0)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IFERROR(__xludf.DUMMYFUNCTION("IMPORTRANGE(""https://docs.google.com/spreadsheets/d/11923uPwbBZFjjGgGUA6NLw09EwE0CqkOc4q9oUmW1yo/edit?usp=sharing"",""ลำปาง!J561"")"),0)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IFERROR(__xludf.DUMMYFUNCTION("IMPORTRANGE(""https://docs.google.com/spreadsheets/d/11923uPwbBZFjjGgGUA6NLw09EwE0CqkOc4q9oUmW1yo/edit?usp=sharing"",""ลำปาง!J562"")"),0)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IFERROR(__xludf.DUMMYFUNCTION("IMPORTRANGE(""https://docs.google.com/spreadsheets/d/11923uPwbBZFjjGgGUA6NLw09EwE0CqkOc4q9oUmW1yo/edit?usp=sharing"",""ลำปาง!I563"")"),0)</f>
        <v>0</v>
      </c>
      <c r="J668" s="536">
        <f ca="1">IFERROR(__xludf.DUMMYFUNCTION("IMPORTRANGE(""https://docs.google.com/spreadsheets/d/11923uPwbBZFjjGgGUA6NLw09EwE0CqkOc4q9oUmW1yo/edit?usp=sharing"",""ลำปาง!J563"")"),0)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IFERROR(__xludf.DUMMYFUNCTION("IMPORTRANGE(""https://docs.google.com/spreadsheets/d/11923uPwbBZFjjGgGUA6NLw09EwE0CqkOc4q9oUmW1yo/edit?usp=sharing"",""ลำปาง!L563"")"),0)</f>
        <v>0</v>
      </c>
      <c r="M668" s="521"/>
      <c r="N668" s="538">
        <f ca="1">IFERROR(__xludf.DUMMYFUNCTION("IMPORTRANGE(""https://docs.google.com/spreadsheets/d/11923uPwbBZFjjGgGUA6NLw09EwE0CqkOc4q9oUmW1yo/edit?usp=sharing"",""ลำปาง!M563"")"),0)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IFERROR(__xludf.DUMMYFUNCTION("IMPORTRANGE(""https://docs.google.com/spreadsheets/d/11923uPwbBZFjjGgGUA6NLw09EwE0CqkOc4q9oUmW1yo/edit?usp=sharing"",""ลำปาง!J564"")"),0)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IFERROR(__xludf.DUMMYFUNCTION("IMPORTRANGE(""https://docs.google.com/spreadsheets/d/11923uPwbBZFjjGgGUA6NLw09EwE0CqkOc4q9oUmW1yo/edit?usp=sharing"",""ลำปาง!J565"")"),0)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IFERROR(__xludf.DUMMYFUNCTION("IMPORTRANGE(""https://docs.google.com/spreadsheets/d/11923uPwbBZFjjGgGUA6NLw09EwE0CqkOc4q9oUmW1yo/edit?usp=sharing"",""ลำปาง!I566"")"),0)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IFERROR(__xludf.DUMMYFUNCTION("IMPORTRANGE(""https://docs.google.com/spreadsheets/d/11923uPwbBZFjjGgGUA6NLw09EwE0CqkOc4q9oUmW1yo/edit?usp=sharing"",""ลำปาง!L566"")"),0)</f>
        <v>0</v>
      </c>
      <c r="M671" s="521"/>
      <c r="N671" s="538">
        <f ca="1">IFERROR(__xludf.DUMMYFUNCTION("IMPORTRANGE(""https://docs.google.com/spreadsheets/d/11923uPwbBZFjjGgGUA6NLw09EwE0CqkOc4q9oUmW1yo/edit?usp=sharing"",""ลำปาง!M566"")"),0)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IFERROR(__xludf.DUMMYFUNCTION("IMPORTRANGE(""https://docs.google.com/spreadsheets/d/11923uPwbBZFjjGgGUA6NLw09EwE0CqkOc4q9oUmW1yo/edit?usp=sharing"",""ลำปาง!J567"")"),0)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IFERROR(__xludf.DUMMYFUNCTION("IMPORTRANGE(""https://docs.google.com/spreadsheets/d/11923uPwbBZFjjGgGUA6NLw09EwE0CqkOc4q9oUmW1yo/edit?usp=sharing"",""ลำปาง!J568"")"),0)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IFERROR(__xludf.DUMMYFUNCTION("IMPORTRANGE(""https://docs.google.com/spreadsheets/d/11923uPwbBZFjjGgGUA6NLw09EwE0CqkOc4q9oUmW1yo/edit?usp=sharing"",""ลำปาง!J569"")"),0)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IFERROR(__xludf.DUMMYFUNCTION("IMPORTRANGE(""https://docs.google.com/spreadsheets/d/11923uPwbBZFjjGgGUA6NLw09EwE0CqkOc4q9oUmW1yo/edit?usp=sharing"",""ลำปาง!J570"")"),0)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IFERROR(__xludf.DUMMYFUNCTION("IMPORTRANGE(""https://docs.google.com/spreadsheets/d/11923uPwbBZFjjGgGUA6NLw09EwE0CqkOc4q9oUmW1yo/edit?usp=sharing"",""ลำปาง!J571"")"),0)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IFERROR(__xludf.DUMMYFUNCTION("IMPORTRANGE(""https://docs.google.com/spreadsheets/d/11923uPwbBZFjjGgGUA6NLw09EwE0CqkOc4q9oUmW1yo/edit?usp=sharing"",""ลำปาง!J572"")"),0)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6684755</v>
      </c>
      <c r="M8" s="23">
        <f t="shared" ca="1" si="0"/>
        <v>4348636.25</v>
      </c>
      <c r="N8" s="23">
        <f t="shared" ca="1" si="0"/>
        <v>4965428.71</v>
      </c>
      <c r="O8" s="22">
        <f t="shared" ref="O8:O16" ca="1" si="1">IF(L8&gt;0,N8*100/L8,0)</f>
        <v>74.279890736459308</v>
      </c>
      <c r="P8" s="22">
        <f t="shared" ref="P8:P16" ca="1" si="2">IF(M8&gt;0,N8*100/M8,0)</f>
        <v>114.18358364648228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6684755</v>
      </c>
      <c r="M10" s="30">
        <f t="shared" ca="1" si="4"/>
        <v>4348636.25</v>
      </c>
      <c r="N10" s="30">
        <f t="shared" ca="1" si="4"/>
        <v>4965428.71</v>
      </c>
      <c r="O10" s="29">
        <f t="shared" ca="1" si="1"/>
        <v>74.279890736459308</v>
      </c>
      <c r="P10" s="29">
        <f t="shared" ca="1" si="2"/>
        <v>114.18358364648228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6435355</v>
      </c>
      <c r="M12" s="39">
        <f t="shared" ca="1" si="6"/>
        <v>4099236.25</v>
      </c>
      <c r="N12" s="39">
        <f t="shared" ca="1" si="6"/>
        <v>4716028.71</v>
      </c>
      <c r="O12" s="39">
        <f t="shared" ca="1" si="1"/>
        <v>73.28311662682168</v>
      </c>
      <c r="P12" s="39">
        <f t="shared" ca="1" si="2"/>
        <v>115.04652140993338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2233700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4201655</v>
      </c>
      <c r="M14" s="39">
        <f t="shared" si="8"/>
        <v>0</v>
      </c>
      <c r="N14" s="39">
        <f t="shared" ca="1" si="8"/>
        <v>1451563</v>
      </c>
      <c r="O14" s="39">
        <f t="shared" ca="1" si="1"/>
        <v>34.547410484678061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4253645</v>
      </c>
      <c r="M18" s="23">
        <f t="shared" ca="1" si="11"/>
        <v>4348636.25</v>
      </c>
      <c r="N18" s="23">
        <f t="shared" ca="1" si="11"/>
        <v>3513865.71</v>
      </c>
      <c r="O18" s="22">
        <f t="shared" ref="O18:O20" ca="1" si="12">IF(L18&gt;0,N18*100/L18,0)</f>
        <v>82.608344372884901</v>
      </c>
      <c r="P18" s="22">
        <f t="shared" ref="P18:P26" ca="1" si="13">IF(M18&gt;0,N18*100/M18,0)</f>
        <v>80.803854541754319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4253645</v>
      </c>
      <c r="M20" s="30">
        <f t="shared" ca="1" si="15"/>
        <v>4348636.25</v>
      </c>
      <c r="N20" s="30">
        <f t="shared" ca="1" si="15"/>
        <v>3513865.71</v>
      </c>
      <c r="O20" s="29">
        <f t="shared" ca="1" si="12"/>
        <v>82.608344372884901</v>
      </c>
      <c r="P20" s="29">
        <f t="shared" ca="1" si="13"/>
        <v>80.803854541754319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4004245</v>
      </c>
      <c r="M22" s="42">
        <f t="shared" ca="1" si="18"/>
        <v>4099236.25</v>
      </c>
      <c r="N22" s="39">
        <f t="shared" ca="1" si="18"/>
        <v>3264465.71</v>
      </c>
      <c r="O22" s="39">
        <f t="shared" ca="1" si="17"/>
        <v>81.525124211930091</v>
      </c>
      <c r="P22" s="39">
        <f t="shared" ca="1" si="13"/>
        <v>79.635949501568732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2233700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1770545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2431110</v>
      </c>
      <c r="M28" s="23">
        <f t="shared" si="23"/>
        <v>0</v>
      </c>
      <c r="N28" s="23">
        <f t="shared" ca="1" si="23"/>
        <v>1451563</v>
      </c>
      <c r="O28" s="22">
        <f t="shared" ref="O28:O30" ca="1" si="24">IF(L28&gt;0,N28*100/L28,0)</f>
        <v>59.707828934108285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2431110</v>
      </c>
      <c r="M30" s="30">
        <f t="shared" si="27"/>
        <v>0</v>
      </c>
      <c r="N30" s="30">
        <f t="shared" ca="1" si="27"/>
        <v>1451563</v>
      </c>
      <c r="O30" s="29">
        <f t="shared" ca="1" si="24"/>
        <v>59.707828934108285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2431110</v>
      </c>
      <c r="M32" s="39">
        <f t="shared" si="30"/>
        <v>0</v>
      </c>
      <c r="N32" s="39">
        <f t="shared" ca="1" si="30"/>
        <v>1451563</v>
      </c>
      <c r="O32" s="39">
        <f t="shared" ca="1" si="29"/>
        <v>59.707828934108285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2431110</v>
      </c>
      <c r="M34" s="39">
        <f t="shared" si="32"/>
        <v>0</v>
      </c>
      <c r="N34" s="39">
        <f t="shared" ca="1" si="32"/>
        <v>1451563</v>
      </c>
      <c r="O34" s="39">
        <f t="shared" ca="1" si="29"/>
        <v>59.707828934108285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4253645</v>
      </c>
      <c r="M37" s="55">
        <f t="shared" ca="1" si="33"/>
        <v>4348636.25</v>
      </c>
      <c r="N37" s="55">
        <f t="shared" ca="1" si="33"/>
        <v>3513865.71</v>
      </c>
      <c r="O37" s="56">
        <f t="shared" ca="1" si="29"/>
        <v>82.608344372884901</v>
      </c>
      <c r="P37" s="56">
        <f t="shared" ca="1" si="25"/>
        <v>80.803854541754319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758700</v>
      </c>
      <c r="N41" s="79">
        <f t="shared" ca="1" si="34"/>
        <v>691536.7</v>
      </c>
      <c r="O41" s="78">
        <f t="shared" ref="O41:O43" ca="1" si="35">IF(L41&gt;0,N41*100/L41,0)</f>
        <v>91.147581389218402</v>
      </c>
      <c r="P41" s="78">
        <f t="shared" ref="P41:P43" ca="1" si="36">IF(M41&gt;0,N41*100/M41,0)</f>
        <v>91.147581389218402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758700</v>
      </c>
      <c r="N43" s="79">
        <f t="shared" ca="1" si="38"/>
        <v>691536.7</v>
      </c>
      <c r="O43" s="78">
        <f t="shared" ca="1" si="35"/>
        <v>91.147581389218402</v>
      </c>
      <c r="P43" s="78">
        <f t="shared" ca="1" si="36"/>
        <v>91.147581389218402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IFERROR(__xludf.DUMMYFUNCTION("IMPORTRANGE(""https://docs.google.com/spreadsheets/d/1Yj_ptqi66GCucihVvJfMjLAmec39IyEx_6qawtMGysU/edit?usp=sharing"",""สบก!Q33"")"),758700)</f>
        <v>758700</v>
      </c>
      <c r="N45" s="50">
        <f ca="1">IFERROR(__xludf.DUMMYFUNCTION("IMPORTRANGE(""https://docs.google.com/spreadsheets/d/1Yj_ptqi66GCucihVvJfMjLAmec39IyEx_6qawtMGysU/edit?usp=sharing"",""สบก!R33"")"),691536.7)</f>
        <v>691536.7</v>
      </c>
      <c r="O45" s="39">
        <f ca="1">IF(L45&gt;0,N45*100/L45,0)</f>
        <v>91.147581389218402</v>
      </c>
      <c r="P45" s="39">
        <f ca="1">IF(M45&gt;0,N45*100/M45,0)</f>
        <v>91.147581389218402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608031.25</v>
      </c>
      <c r="N53" s="121">
        <f t="shared" ca="1" si="39"/>
        <v>492431.25</v>
      </c>
      <c r="O53" s="120">
        <f t="shared" ref="O53:O55" ca="1" si="40">IF(L53&gt;0,N53*100/L53,0)</f>
        <v>82.071875000000006</v>
      </c>
      <c r="P53" s="120">
        <f t="shared" ref="P53:P55" ca="1" si="41">IF(M53&gt;0,N53*100/M53,0)</f>
        <v>80.987819293827414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608031.25</v>
      </c>
      <c r="N55" s="121">
        <f t="shared" ca="1" si="43"/>
        <v>492431.25</v>
      </c>
      <c r="O55" s="120">
        <f t="shared" ca="1" si="40"/>
        <v>82.071875000000006</v>
      </c>
      <c r="P55" s="120">
        <f t="shared" ca="1" si="41"/>
        <v>80.987819293827414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600000</v>
      </c>
      <c r="M57" s="50">
        <f ca="1">IFERROR(__xludf.DUMMYFUNCTION("IMPORTRANGE(""https://docs.google.com/spreadsheets/d/1Yj_ptqi66GCucihVvJfMjLAmec39IyEx_6qawtMGysU/edit?usp=sharing"",""สบก!Z33"")"),608031.25)</f>
        <v>608031.25</v>
      </c>
      <c r="N57" s="50">
        <f ca="1">IFERROR(__xludf.DUMMYFUNCTION("IMPORTRANGE(""https://docs.google.com/spreadsheets/d/1Yj_ptqi66GCucihVvJfMjLAmec39IyEx_6qawtMGysU/edit?usp=sharing"",""สบก!AA33"")"),492431.25)</f>
        <v>492431.25</v>
      </c>
      <c r="O57" s="39">
        <f ca="1">IF(L57&gt;0,N57*100/L57,0)</f>
        <v>82.071875000000006</v>
      </c>
      <c r="P57" s="39">
        <f ca="1">IF(M57&gt;0,N57*100/M57,0)</f>
        <v>80.987819293827414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IFERROR(__xludf.DUMMYFUNCTION("IMPORTRANGE(""https://docs.google.com/spreadsheets/d/1Yj_ptqi66GCucihVvJfMjLAmec39IyEx_6qawtMGysU/edit?usp=sharing"",""สบก!V33"")"),600000)</f>
        <v>600000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591400</v>
      </c>
      <c r="M66" s="152">
        <f t="shared" ca="1" si="45"/>
        <v>642320</v>
      </c>
      <c r="N66" s="152">
        <f t="shared" ca="1" si="45"/>
        <v>527228</v>
      </c>
      <c r="O66" s="151">
        <f t="shared" ref="O66:O68" ca="1" si="46">IF(L66&gt;0,N66*100/L66,0)</f>
        <v>89.149137639499486</v>
      </c>
      <c r="P66" s="151">
        <f t="shared" ref="P66:P68" ca="1" si="47">IF(M66&gt;0,N66*100/M66,0)</f>
        <v>82.081828372150952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591400</v>
      </c>
      <c r="M68" s="88">
        <f t="shared" ca="1" si="49"/>
        <v>642320</v>
      </c>
      <c r="N68" s="88">
        <f t="shared" ca="1" si="49"/>
        <v>527228</v>
      </c>
      <c r="O68" s="156">
        <f t="shared" ca="1" si="46"/>
        <v>89.149137639499486</v>
      </c>
      <c r="P68" s="156">
        <f t="shared" ca="1" si="47"/>
        <v>82.081828372150952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IFERROR(__xludf.DUMMYFUNCTION("IMPORTRANGE(""https://docs.google.com/spreadsheets/d/1Yj_ptqi66GCucihVvJfMjLAmec39IyEx_6qawtMGysU/edit?usp=sharing"",""สบก!AI33"")"),642320)</f>
        <v>642320</v>
      </c>
      <c r="N70" s="168">
        <f ca="1">IFERROR(__xludf.DUMMYFUNCTION("IMPORTRANGE(""https://docs.google.com/spreadsheets/d/1Yj_ptqi66GCucihVvJfMjLAmec39IyEx_6qawtMGysU/edit?usp=sharing"",""สบก!AJ33"")"),527228)</f>
        <v>527228</v>
      </c>
      <c r="O70" s="168">
        <f ca="1">IF(L70&gt;0,N70*100/L70,0)</f>
        <v>89.149137639499486</v>
      </c>
      <c r="P70" s="168">
        <f ca="1">IF(M70&gt;0,N70*100/M70,0)</f>
        <v>82.081828372150952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66322</v>
      </c>
      <c r="O118" s="151">
        <f t="shared" ref="O118:O120" ca="1" si="59">IF(L118&gt;0,N118*100/L118,0)</f>
        <v>80.448811256671519</v>
      </c>
      <c r="P118" s="151">
        <f t="shared" ref="P118:P120" ca="1" si="60">IF(M118&gt;0,N118*100/M118,0)</f>
        <v>80.448811256671519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66322</v>
      </c>
      <c r="O120" s="156">
        <f t="shared" ca="1" si="59"/>
        <v>80.448811256671519</v>
      </c>
      <c r="P120" s="156">
        <f t="shared" ca="1" si="60"/>
        <v>80.448811256671519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IFERROR(__xludf.DUMMYFUNCTION("IMPORTRANGE(""https://docs.google.com/spreadsheets/d/1Yj_ptqi66GCucihVvJfMjLAmec39IyEx_6qawtMGysU/edit?usp=sharing"",""สบก!BA33"")"),82440)</f>
        <v>82440</v>
      </c>
      <c r="N122" s="168">
        <f ca="1">IFERROR(__xludf.DUMMYFUNCTION("IMPORTRANGE(""https://docs.google.com/spreadsheets/d/1Yj_ptqi66GCucihVvJfMjLAmec39IyEx_6qawtMGysU/edit?usp=sharing"",""สบก!BB33"")"),66322)</f>
        <v>66322</v>
      </c>
      <c r="O122" s="168">
        <f ca="1">IF(L122&gt;0,N122*100/L122,0)</f>
        <v>80.448811256671519</v>
      </c>
      <c r="P122" s="168">
        <f ca="1">IF(M122&gt;0,N122*100/M122,0)</f>
        <v>80.448811256671519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1399000</v>
      </c>
      <c r="M140" s="152">
        <f t="shared" ca="1" si="64"/>
        <v>1407000</v>
      </c>
      <c r="N140" s="152">
        <f t="shared" ca="1" si="64"/>
        <v>1127781.76</v>
      </c>
      <c r="O140" s="151">
        <f t="shared" ref="O140:O142" ca="1" si="65">IF(L140&gt;0,N140*100/L140,0)</f>
        <v>80.613421015010715</v>
      </c>
      <c r="P140" s="151">
        <f t="shared" ref="P140:P142" ca="1" si="66">IF(M140&gt;0,N140*100/M140,0)</f>
        <v>80.155064676616917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1399000</v>
      </c>
      <c r="M142" s="88">
        <f t="shared" ca="1" si="68"/>
        <v>1407000</v>
      </c>
      <c r="N142" s="88">
        <f t="shared" ca="1" si="68"/>
        <v>1127781.76</v>
      </c>
      <c r="O142" s="156">
        <f t="shared" ca="1" si="65"/>
        <v>80.613421015010715</v>
      </c>
      <c r="P142" s="156">
        <f t="shared" ca="1" si="66"/>
        <v>80.155064676616917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1161000</v>
      </c>
      <c r="M144" s="167">
        <f ca="1">IFERROR(__xludf.DUMMYFUNCTION("IMPORTRANGE(""https://docs.google.com/spreadsheets/d/1Yj_ptqi66GCucihVvJfMjLAmec39IyEx_6qawtMGysU/edit?usp=sharing"",""สบก!BJ33"")"),1169000)</f>
        <v>1169000</v>
      </c>
      <c r="N144" s="168">
        <f ca="1">IFERROR(__xludf.DUMMYFUNCTION("IMPORTRANGE(""https://docs.google.com/spreadsheets/d/1Yj_ptqi66GCucihVvJfMjLAmec39IyEx_6qawtMGysU/edit?usp=sharing"",""สบก!BK33"")"),889781.76)</f>
        <v>889781.76000000001</v>
      </c>
      <c r="O144" s="168">
        <f ca="1">IF(L144&gt;0,N144*100/L144,0)</f>
        <v>76.639255813953483</v>
      </c>
      <c r="P144" s="168">
        <f ca="1">IF(M144&gt;0,N144*100/M144,0)</f>
        <v>76.114778443113778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IFERROR(__xludf.DUMMYFUNCTION("IMPORTRANGE(""https://docs.google.com/spreadsheets/d/1Yj_ptqi66GCucihVvJfMjLAmec39IyEx_6qawtMGysU/edit?usp=sharing"",""สบก!BG33"")"),897000)</f>
        <v>897000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IFERROR(__xludf.DUMMYFUNCTION("IMPORTRANGE(""https://docs.google.com/spreadsheets/d/11923uPwbBZFjjGgGUA6NLw09EwE0CqkOc4q9oUmW1yo/edit?usp=sharing"",""ลำพูน!J84"")"),151)</f>
        <v>151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IFERROR(__xludf.DUMMYFUNCTION("IMPORTRANGE(""https://docs.google.com/spreadsheets/d/11923uPwbBZFjjGgGUA6NLw09EwE0CqkOc4q9oUmW1yo/edit?usp=sharing"",""ลำพูน!J85"")"),151)</f>
        <v>151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IFERROR(__xludf.DUMMYFUNCTION("IMPORTRANGE(""https://docs.google.com/spreadsheets/d/11923uPwbBZFjjGgGUA6NLw09EwE0CqkOc4q9oUmW1yo/edit?usp=sharing"",""ลำพูน!J141"")"),2)</f>
        <v>2</v>
      </c>
      <c r="K216" s="224">
        <f t="shared" ca="1" si="71"/>
        <v>66.666666666666671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IFERROR(__xludf.DUMMYFUNCTION("IMPORTRANGE(""https://docs.google.com/spreadsheets/d/1Yj_ptqi66GCucihVvJfMjLAmec39IyEx_6qawtMGysU/edit?usp=sharing"",""สบก!CK33"")"),55200)</f>
        <v>55200</v>
      </c>
      <c r="N275" s="168">
        <f ca="1">IFERROR(__xludf.DUMMYFUNCTION("IMPORTRANGE(""https://docs.google.com/spreadsheets/d/1Yj_ptqi66GCucihVvJfMjLAmec39IyEx_6qawtMGysU/edit?usp=sharing"",""สบก!CL33"")"),55200)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IFERROR(__xludf.DUMMYFUNCTION("IMPORTRANGE(""https://docs.google.com/spreadsheets/d/11923uPwbBZFjjGgGUA6NLw09EwE0CqkOc4q9oUmW1yo/edit?usp=sharing"",""ลำพูน!J228"")"),156)</f>
        <v>156</v>
      </c>
      <c r="K328" s="317">
        <f ca="1">IF(I328&gt;0,J328*100/I328,0)</f>
        <v>45.614035087719301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745780</v>
      </c>
      <c r="M329" s="152">
        <f t="shared" ca="1" si="98"/>
        <v>773820</v>
      </c>
      <c r="N329" s="152">
        <f t="shared" ca="1" si="98"/>
        <v>532241</v>
      </c>
      <c r="O329" s="151">
        <f t="shared" ref="O329:O331" ca="1" si="99">IF(L329&gt;0,N329*100/L329,0)</f>
        <v>71.367025128053854</v>
      </c>
      <c r="P329" s="151">
        <f t="shared" ref="P329:P331" ca="1" si="100">IF(M329&gt;0,N329*100/M329,0)</f>
        <v>68.780982657465557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745780</v>
      </c>
      <c r="M331" s="88">
        <f t="shared" ca="1" si="102"/>
        <v>773820</v>
      </c>
      <c r="N331" s="88">
        <f t="shared" ca="1" si="102"/>
        <v>532241</v>
      </c>
      <c r="O331" s="156">
        <f t="shared" ca="1" si="99"/>
        <v>71.367025128053854</v>
      </c>
      <c r="P331" s="156">
        <f t="shared" ca="1" si="100"/>
        <v>68.780982657465557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734380</v>
      </c>
      <c r="M333" s="167">
        <f ca="1">IFERROR(__xludf.DUMMYFUNCTION("IMPORTRANGE(""https://docs.google.com/spreadsheets/d/1Yj_ptqi66GCucihVvJfMjLAmec39IyEx_6qawtMGysU/edit?usp=sharing"",""สบก!DL33"")"),762420)</f>
        <v>762420</v>
      </c>
      <c r="N333" s="168">
        <f ca="1">IFERROR(__xludf.DUMMYFUNCTION("IMPORTRANGE(""https://docs.google.com/spreadsheets/d/1Yj_ptqi66GCucihVvJfMjLAmec39IyEx_6qawtMGysU/edit?usp=sharing"",""สบก!DM33"")"),520841)</f>
        <v>520841</v>
      </c>
      <c r="O333" s="168">
        <f ca="1">IF(L333&gt;0,N333*100/L333,0)</f>
        <v>70.922546910318914</v>
      </c>
      <c r="P333" s="168">
        <f ca="1">IF(M333&gt;0,N333*100/M333,0)</f>
        <v>68.314183783216606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IFERROR(__xludf.DUMMYFUNCTION("IMPORTRANGE(""https://docs.google.com/spreadsheets/d/1Yj_ptqi66GCucihVvJfMjLAmec39IyEx_6qawtMGysU/edit?usp=sharing"",""สบก!DI33"")"),316780)</f>
        <v>316780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IFERROR(__xludf.DUMMYFUNCTION("IMPORTRANGE(""https://docs.google.com/spreadsheets/d/11923uPwbBZFjjGgGUA6NLw09EwE0CqkOc4q9oUmW1yo/edit?usp=sharing"",""ลำพูน!J234"")"),119)</f>
        <v>119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IFERROR(__xludf.DUMMYFUNCTION("IMPORTRANGE(""https://docs.google.com/spreadsheets/d/11923uPwbBZFjjGgGUA6NLw09EwE0CqkOc4q9oUmW1yo/edit?usp=sharing"",""ลำพูน!J235"")"),910.89)</f>
        <v>910.89</v>
      </c>
      <c r="K340" s="342">
        <f t="shared" ca="1" si="103"/>
        <v>130.12714285714284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IFERROR(__xludf.DUMMYFUNCTION("IMPORTRANGE(""https://docs.google.com/spreadsheets/d/11923uPwbBZFjjGgGUA6NLw09EwE0CqkOc4q9oUmW1yo/edit?usp=sharing"",""ลำพูน!J236"")"),208)</f>
        <v>208</v>
      </c>
      <c r="K341" s="342">
        <f t="shared" ca="1" si="103"/>
        <v>60.8187134502924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IFERROR(__xludf.DUMMYFUNCTION("IMPORTRANGE(""https://docs.google.com/spreadsheets/d/11923uPwbBZFjjGgGUA6NLw09EwE0CqkOc4q9oUmW1yo/edit?usp=sharing"",""ลำพูน!J237"")"),1271.49)</f>
        <v>1271.49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IFERROR(__xludf.DUMMYFUNCTION("IMPORTRANGE(""https://docs.google.com/spreadsheets/d/11923uPwbBZFjjGgGUA6NLw09EwE0CqkOc4q9oUmW1yo/edit?usp=sharing"",""ลำพูน!J240"")"),156)</f>
        <v>156</v>
      </c>
      <c r="K345" s="342">
        <f t="shared" ca="1" si="103"/>
        <v>45.614035087719301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IFERROR(__xludf.DUMMYFUNCTION("IMPORTRANGE(""https://docs.google.com/spreadsheets/d/11923uPwbBZFjjGgGUA6NLw09EwE0CqkOc4q9oUmW1yo/edit?usp=sharing"",""ลำพูน!J241"")"),956.699999999999)</f>
        <v>956.69999999999902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IFERROR(__xludf.DUMMYFUNCTION("IMPORTRANGE(""https://docs.google.com/spreadsheets/d/11923uPwbBZFjjGgGUA6NLw09EwE0CqkOc4q9oUmW1yo/edit?usp=sharing"",""ลำพูน!L242"")"),2431110)</f>
        <v>2431110</v>
      </c>
      <c r="M347" s="357"/>
      <c r="N347" s="357">
        <f ca="1">IFERROR(__xludf.DUMMYFUNCTION("IMPORTRANGE(""https://docs.google.com/spreadsheets/d/11923uPwbBZFjjGgGUA6NLw09EwE0CqkOc4q9oUmW1yo/edit?usp=sharing"",""ลำพูน!M242"")"),1451563)</f>
        <v>1451563</v>
      </c>
      <c r="O347" s="357">
        <f ca="1">+IF(L347&gt;0,N347*100/L347,0)</f>
        <v>59.707828934108285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IFERROR(__xludf.DUMMYFUNCTION("IMPORTRANGE(""https://docs.google.com/spreadsheets/d/11923uPwbBZFjjGgGUA6NLw09EwE0CqkOc4q9oUmW1yo/edit?usp=sharing"",""ลำพูน!L244"")"),459380)</f>
        <v>459380</v>
      </c>
      <c r="M349" s="372"/>
      <c r="N349" s="372">
        <f ca="1">IFERROR(__xludf.DUMMYFUNCTION("IMPORTRANGE(""https://docs.google.com/spreadsheets/d/11923uPwbBZFjjGgGUA6NLw09EwE0CqkOc4q9oUmW1yo/edit?usp=sharing"",""ลำพูน!M244"")"),401810)</f>
        <v>401810</v>
      </c>
      <c r="O349" s="372">
        <f ca="1">+IF(L349&gt;0,N349*100/L349,0)</f>
        <v>87.467891505942788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IFERROR(__xludf.DUMMYFUNCTION("IMPORTRANGE(""https://docs.google.com/spreadsheets/d/11923uPwbBZFjjGgGUA6NLw09EwE0CqkOc4q9oUmW1yo/edit?usp=sharing"",""ลำพูน!M247"")"),401810)</f>
        <v>401810</v>
      </c>
      <c r="O352" s="165">
        <f t="shared" ca="1" si="105"/>
        <v>87.467891505942788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IFERROR(__xludf.DUMMYFUNCTION("IMPORTRANGE(""https://docs.google.com/spreadsheets/d/11923uPwbBZFjjGgGUA6NLw09EwE0CqkOc4q9oUmW1yo/edit?usp=sharing"",""ลำพูน!M249"")"),401810)</f>
        <v>401810</v>
      </c>
      <c r="O354" s="168">
        <f t="shared" ca="1" si="105"/>
        <v>87.467891505942788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IFERROR(__xludf.DUMMYFUNCTION("IMPORTRANGE(""https://docs.google.com/spreadsheets/d/11923uPwbBZFjjGgGUA6NLw09EwE0CqkOc4q9oUmW1yo/edit?usp=sharing"",""ลำพูน!M252"")"),100935)</f>
        <v>100935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IFERROR(__xludf.DUMMYFUNCTION("IMPORTRANGE(""https://docs.google.com/spreadsheets/d/11923uPwbBZFjjGgGUA6NLw09EwE0CqkOc4q9oUmW1yo/edit?usp=sharing"",""ลำพูน!M253"")"),32475)</f>
        <v>32475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IFERROR(__xludf.DUMMYFUNCTION("IMPORTRANGE(""https://docs.google.com/spreadsheets/d/11923uPwbBZFjjGgGUA6NLw09EwE0CqkOc4q9oUmW1yo/edit?usp=sharing"",""ลำพูน!M275"")"),332262)</f>
        <v>332262</v>
      </c>
      <c r="O380" s="372">
        <f ca="1">+IF(L380&gt;0,N380*100/L380,0)</f>
        <v>32.304865243262164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IFERROR(__xludf.DUMMYFUNCTION("IMPORTRANGE(""https://docs.google.com/spreadsheets/d/11923uPwbBZFjjGgGUA6NLw09EwE0CqkOc4q9oUmW1yo/edit?usp=sharing"",""ลำพูน!M278"")"),332262)</f>
        <v>332262</v>
      </c>
      <c r="O383" s="165">
        <f t="shared" ca="1" si="109"/>
        <v>32.304865243262164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IFERROR(__xludf.DUMMYFUNCTION("IMPORTRANGE(""https://docs.google.com/spreadsheets/d/11923uPwbBZFjjGgGUA6NLw09EwE0CqkOc4q9oUmW1yo/edit?usp=sharing"",""ลำพูน!M280"")"),332262)</f>
        <v>332262</v>
      </c>
      <c r="O385" s="168">
        <f t="shared" ca="1" si="109"/>
        <v>32.304865243262164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IFERROR(__xludf.DUMMYFUNCTION("IMPORTRANGE(""https://docs.google.com/spreadsheets/d/11923uPwbBZFjjGgGUA6NLw09EwE0CqkOc4q9oUmW1yo/edit?usp=sharing"",""ลำพูน!M283"")"),99467)</f>
        <v>99467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IFERROR(__xludf.DUMMYFUNCTION("IMPORTRANGE(""https://docs.google.com/spreadsheets/d/11923uPwbBZFjjGgGUA6NLw09EwE0CqkOc4q9oUmW1yo/edit?usp=sharing"",""ลำพูน!M284"")"),34795)</f>
        <v>34795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IFERROR(__xludf.DUMMYFUNCTION("IMPORTRANGE(""https://docs.google.com/spreadsheets/d/11923uPwbBZFjjGgGUA6NLw09EwE0CqkOc4q9oUmW1yo/edit?usp=sharing"",""ลำพูน!J293"")"),150)</f>
        <v>150</v>
      </c>
      <c r="K398" s="163">
        <f t="shared" ca="1" si="110"/>
        <v>150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IFERROR(__xludf.DUMMYFUNCTION("IMPORTRANGE(""https://docs.google.com/spreadsheets/d/11923uPwbBZFjjGgGUA6NLw09EwE0CqkOc4q9oUmW1yo/edit?usp=sharing"",""ลำพูน!M296"")"),188190)</f>
        <v>188190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IFERROR(__xludf.DUMMYFUNCTION("IMPORTRANGE(""https://docs.google.com/spreadsheets/d/11923uPwbBZFjjGgGUA6NLw09EwE0CqkOc4q9oUmW1yo/edit?usp=sharing"",""ลำพูน!J297"")"),55)</f>
        <v>55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IFERROR(__xludf.DUMMYFUNCTION("IMPORTRANGE(""https://docs.google.com/spreadsheets/d/11923uPwbBZFjjGgGUA6NLw09EwE0CqkOc4q9oUmW1yo/edit?usp=sharing"",""ลำพูน!M299"")"),188190)</f>
        <v>188190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IFERROR(__xludf.DUMMYFUNCTION("IMPORTRANGE(""https://docs.google.com/spreadsheets/d/11923uPwbBZFjjGgGUA6NLw09EwE0CqkOc4q9oUmW1yo/edit?usp=sharing"",""ลำพูน!M301"")"),188190)</f>
        <v>188190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IFERROR(__xludf.DUMMYFUNCTION("IMPORTRANGE(""https://docs.google.com/spreadsheets/d/11923uPwbBZFjjGgGUA6NLw09EwE0CqkOc4q9oUmW1yo/edit?usp=sharing"",""ลำพูน!M302"")"),116250)</f>
        <v>116250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IFERROR(__xludf.DUMMYFUNCTION("IMPORTRANGE(""https://docs.google.com/spreadsheets/d/11923uPwbBZFjjGgGUA6NLw09EwE0CqkOc4q9oUmW1yo/edit?usp=sharing"",""ลำพูน!M303"")"),39500)</f>
        <v>39500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IFERROR(__xludf.DUMMYFUNCTION("IMPORTRANGE(""https://docs.google.com/spreadsheets/d/11923uPwbBZFjjGgGUA6NLw09EwE0CqkOc4q9oUmW1yo/edit?usp=sharing"",""ลำพูน!M305"")"),32440)</f>
        <v>32440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IFERROR(__xludf.DUMMYFUNCTION("IMPORTRANGE(""https://docs.google.com/spreadsheets/d/11923uPwbBZFjjGgGUA6NLw09EwE0CqkOc4q9oUmW1yo/edit?usp=sharing"",""ลำพูน!J311"")"),55)</f>
        <v>55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IFERROR(__xludf.DUMMYFUNCTION("IMPORTRANGE(""https://docs.google.com/spreadsheets/d/11923uPwbBZFjjGgGUA6NLw09EwE0CqkOc4q9oUmW1yo/edit?usp=sharing"",""ลำพูน!J316"")"),35)</f>
        <v>35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IFERROR(__xludf.DUMMYFUNCTION("IMPORTRANGE(""https://docs.google.com/spreadsheets/d/11923uPwbBZFjjGgGUA6NLw09EwE0CqkOc4q9oUmW1yo/edit?usp=sharing"",""ลำพูน!J319"")"),35)</f>
        <v>35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IFERROR(__xludf.DUMMYFUNCTION("IMPORTRANGE(""https://docs.google.com/spreadsheets/d/11923uPwbBZFjjGgGUA6NLw09EwE0CqkOc4q9oUmW1yo/edit?usp=sharing"",""ลำพูน!J320"")"),35)</f>
        <v>35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IFERROR(__xludf.DUMMYFUNCTION("IMPORTRANGE(""https://docs.google.com/spreadsheets/d/11923uPwbBZFjjGgGUA6NLw09EwE0CqkOc4q9oUmW1yo/edit?usp=sharing"",""ลำพูน!J325"")"),45)</f>
        <v>45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IFERROR(__xludf.DUMMYFUNCTION("IMPORTRANGE(""https://docs.google.com/spreadsheets/d/11923uPwbBZFjjGgGUA6NLw09EwE0CqkOc4q9oUmW1yo/edit?usp=sharing"",""ลำพูน!J327"")"),35)</f>
        <v>35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IFERROR(__xludf.DUMMYFUNCTION("IMPORTRANGE(""https://docs.google.com/spreadsheets/d/11923uPwbBZFjjGgGUA6NLw09EwE0CqkOc4q9oUmW1yo/edit?usp=sharing"",""ลำพูน!L330"")"),136900)</f>
        <v>136900</v>
      </c>
      <c r="M435" s="411"/>
      <c r="N435" s="411">
        <f ca="1">IFERROR(__xludf.DUMMYFUNCTION("IMPORTRANGE(""https://docs.google.com/spreadsheets/d/11923uPwbBZFjjGgGUA6NLw09EwE0CqkOc4q9oUmW1yo/edit?usp=sharing"",""ลำพูน!M330"")"),133259)</f>
        <v>133259</v>
      </c>
      <c r="O435" s="411">
        <f t="shared" ref="O435:O439" ca="1" si="114">+IF(L435&gt;0,N435*100/L435,0)</f>
        <v>97.340394448502551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IFERROR(__xludf.DUMMYFUNCTION("IMPORTRANGE(""https://docs.google.com/spreadsheets/d/11923uPwbBZFjjGgGUA6NLw09EwE0CqkOc4q9oUmW1yo/edit?usp=sharing"",""ลำพูน!L332"")"),136900)</f>
        <v>136900</v>
      </c>
      <c r="M437" s="165"/>
      <c r="N437" s="168">
        <f ca="1">IFERROR(__xludf.DUMMYFUNCTION("IMPORTRANGE(""https://docs.google.com/spreadsheets/d/11923uPwbBZFjjGgGUA6NLw09EwE0CqkOc4q9oUmW1yo/edit?usp=sharing"",""ลำพูน!M332"")"),133259)</f>
        <v>133259</v>
      </c>
      <c r="O437" s="168">
        <f t="shared" ca="1" si="114"/>
        <v>97.340394448502551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IFERROR(__xludf.DUMMYFUNCTION("IMPORTRANGE(""https://docs.google.com/spreadsheets/d/11923uPwbBZFjjGgGUA6NLw09EwE0CqkOc4q9oUmW1yo/edit?usp=sharing"",""ลำพูน!L334"")"),136900)</f>
        <v>136900</v>
      </c>
      <c r="M439" s="168"/>
      <c r="N439" s="168">
        <f ca="1">IFERROR(__xludf.DUMMYFUNCTION("IMPORTRANGE(""https://docs.google.com/spreadsheets/d/11923uPwbBZFjjGgGUA6NLw09EwE0CqkOc4q9oUmW1yo/edit?usp=sharing"",""ลำพูน!M334"")"),133259)</f>
        <v>133259</v>
      </c>
      <c r="O439" s="168">
        <f t="shared" ca="1" si="114"/>
        <v>97.340394448502551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IFERROR(__xludf.DUMMYFUNCTION("IMPORTRANGE(""https://docs.google.com/spreadsheets/d/11923uPwbBZFjjGgGUA6NLw09EwE0CqkOc4q9oUmW1yo/edit?usp=sharing"",""ลำพูน!M335"")"),77050)</f>
        <v>77050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IFERROR(__xludf.DUMMYFUNCTION("IMPORTRANGE(""https://docs.google.com/spreadsheets/d/11923uPwbBZFjjGgGUA6NLw09EwE0CqkOc4q9oUmW1yo/edit?usp=sharing"",""ลำพูน!M338"")"),56209)</f>
        <v>56209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IFERROR(__xludf.DUMMYFUNCTION("IMPORTRANGE(""https://docs.google.com/spreadsheets/d/11923uPwbBZFjjGgGUA6NLw09EwE0CqkOc4q9oUmW1yo/edit?usp=sharing"",""ลำพูน!J350"")"),41345)</f>
        <v>41345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IFERROR(__xludf.DUMMYFUNCTION("IMPORTRANGE(""https://docs.google.com/spreadsheets/d/11923uPwbBZFjjGgGUA6NLw09EwE0CqkOc4q9oUmW1yo/edit?usp=sharing"",""ลำพูน!L350"")"),452350)</f>
        <v>452350</v>
      </c>
      <c r="M455" s="372"/>
      <c r="N455" s="372">
        <f ca="1">IFERROR(__xludf.DUMMYFUNCTION("IMPORTRANGE(""https://docs.google.com/spreadsheets/d/11923uPwbBZFjjGgGUA6NLw09EwE0CqkOc4q9oUmW1yo/edit?usp=sharing"",""ลำพูน!M350"")"),299818)</f>
        <v>299818</v>
      </c>
      <c r="O455" s="372">
        <f t="shared" ref="O455:O459" ca="1" si="116">+IF(L455&gt;0,N455*100/L455,0)</f>
        <v>66.280092848458054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IFERROR(__xludf.DUMMYFUNCTION("IMPORTRANGE(""https://docs.google.com/spreadsheets/d/11923uPwbBZFjjGgGUA6NLw09EwE0CqkOc4q9oUmW1yo/edit?usp=sharing"",""ลำพูน!L352"")"),452350)</f>
        <v>452350</v>
      </c>
      <c r="M457" s="165"/>
      <c r="N457" s="168">
        <f ca="1">IFERROR(__xludf.DUMMYFUNCTION("IMPORTRANGE(""https://docs.google.com/spreadsheets/d/11923uPwbBZFjjGgGUA6NLw09EwE0CqkOc4q9oUmW1yo/edit?usp=sharing"",""ลำพูน!M352"")"),299818)</f>
        <v>299818</v>
      </c>
      <c r="O457" s="168">
        <f t="shared" ca="1" si="116"/>
        <v>66.280092848458054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IFERROR(__xludf.DUMMYFUNCTION("IMPORTRANGE(""https://docs.google.com/spreadsheets/d/11923uPwbBZFjjGgGUA6NLw09EwE0CqkOc4q9oUmW1yo/edit?usp=sharing"",""ลำพูน!L354"")"),452350)</f>
        <v>452350</v>
      </c>
      <c r="M459" s="168"/>
      <c r="N459" s="168">
        <f ca="1">IFERROR(__xludf.DUMMYFUNCTION("IMPORTRANGE(""https://docs.google.com/spreadsheets/d/11923uPwbBZFjjGgGUA6NLw09EwE0CqkOc4q9oUmW1yo/edit?usp=sharing"",""ลำพูน!M354"")"),299818)</f>
        <v>299818</v>
      </c>
      <c r="O459" s="168">
        <f t="shared" ca="1" si="116"/>
        <v>66.280092848458054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IFERROR(__xludf.DUMMYFUNCTION("IMPORTRANGE(""https://docs.google.com/spreadsheets/d/11923uPwbBZFjjGgGUA6NLw09EwE0CqkOc4q9oUmW1yo/edit?usp=sharing"",""ลำพูน!M357"")"),106839)</f>
        <v>106839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IFERROR(__xludf.DUMMYFUNCTION("IMPORTRANGE(""https://docs.google.com/spreadsheets/d/11923uPwbBZFjjGgGUA6NLw09EwE0CqkOc4q9oUmW1yo/edit?usp=sharing"",""ลำพูน!M358"")"),192979)</f>
        <v>192979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IFERROR(__xludf.DUMMYFUNCTION("IMPORTRANGE(""https://docs.google.com/spreadsheets/d/11923uPwbBZFjjGgGUA6NLw09EwE0CqkOc4q9oUmW1yo/edit?usp=sharing"",""ลำพูน!J359"")"),41345)</f>
        <v>41345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IFERROR(__xludf.DUMMYFUNCTION("IMPORTRANGE(""https://docs.google.com/spreadsheets/d/11923uPwbBZFjjGgGUA6NLw09EwE0CqkOc4q9oUmW1yo/edit?usp=sharing"",""ลำพูน!J376"")"),41345)</f>
        <v>41345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IFERROR(__xludf.DUMMYFUNCTION("IMPORTRANGE(""https://docs.google.com/spreadsheets/d/11923uPwbBZFjjGgGUA6NLw09EwE0CqkOc4q9oUmW1yo/edit?usp=sharing"",""ลำพูน!J377"")"),6424)</f>
        <v>6424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IFERROR(__xludf.DUMMYFUNCTION("IMPORTRANGE(""https://docs.google.com/spreadsheets/d/11923uPwbBZFjjGgGUA6NLw09EwE0CqkOc4q9oUmW1yo/edit?usp=sharing"",""ลำพูน!J378"")"),39485)</f>
        <v>39485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IFERROR(__xludf.DUMMYFUNCTION("IMPORTRANGE(""https://docs.google.com/spreadsheets/d/11923uPwbBZFjjGgGUA6NLw09EwE0CqkOc4q9oUmW1yo/edit?usp=sharing"",""ลำพูน!J379"")"),5911)</f>
        <v>5911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IFERROR(__xludf.DUMMYFUNCTION("IMPORTRANGE(""https://docs.google.com/spreadsheets/d/11923uPwbBZFjjGgGUA6NLw09EwE0CqkOc4q9oUmW1yo/edit?usp=sharing"",""ลำพูน!J382"")"),604)</f>
        <v>604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IFERROR(__xludf.DUMMYFUNCTION("IMPORTRANGE(""https://docs.google.com/spreadsheets/d/11923uPwbBZFjjGgGUA6NLw09EwE0CqkOc4q9oUmW1yo/edit?usp=sharing"",""ลำพูน!J384"")"),576)</f>
        <v>576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IFERROR(__xludf.DUMMYFUNCTION("IMPORTRANGE(""https://docs.google.com/spreadsheets/d/11923uPwbBZFjjGgGUA6NLw09EwE0CqkOc4q9oUmW1yo/edit?usp=sharing"",""ลำพูน!J385"")"),100)</f>
        <v>100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IFERROR(__xludf.DUMMYFUNCTION("IMPORTRANGE(""https://docs.google.com/spreadsheets/d/11923uPwbBZFjjGgGUA6NLw09EwE0CqkOc4q9oUmW1yo/edit?usp=sharing"",""ลำพูน!J386"")"),28)</f>
        <v>28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IFERROR(__xludf.DUMMYFUNCTION("IMPORTRANGE(""https://docs.google.com/spreadsheets/d/11923uPwbBZFjjGgGUA6NLw09EwE0CqkOc4q9oUmW1yo/edit?usp=sharing"",""ลำพูน!J388"")"),1256)</f>
        <v>1256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IFERROR(__xludf.DUMMYFUNCTION("IMPORTRANGE(""https://docs.google.com/spreadsheets/d/11923uPwbBZFjjGgGUA6NLw09EwE0CqkOc4q9oUmW1yo/edit?usp=sharing"",""ลำพูน!J389"")"),406)</f>
        <v>406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IFERROR(__xludf.DUMMYFUNCTION("IMPORTRANGE(""https://docs.google.com/spreadsheets/d/11923uPwbBZFjjGgGUA6NLw09EwE0CqkOc4q9oUmW1yo/edit?usp=sharing"",""ลำพูน!J459"")"),1474)</f>
        <v>1474</v>
      </c>
      <c r="K564" s="371">
        <f ca="1">IF(I564&gt;0,J564*100/I564,0)</f>
        <v>226.76923076923077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IFERROR(__xludf.DUMMYFUNCTION("IMPORTRANGE(""https://docs.google.com/spreadsheets/d/11923uPwbBZFjjGgGUA6NLw09EwE0CqkOc4q9oUmW1yo/edit?usp=sharing"",""ลำพูน!M459"")"),77405)</f>
        <v>77405</v>
      </c>
      <c r="O564" s="372">
        <f t="shared" ref="O564:O568" ca="1" si="122">+IF(L564&gt;0,N564*100/L564,0)</f>
        <v>61.006462799495587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IFERROR(__xludf.DUMMYFUNCTION("IMPORTRANGE(""https://docs.google.com/spreadsheets/d/11923uPwbBZFjjGgGUA6NLw09EwE0CqkOc4q9oUmW1yo/edit?usp=sharing"",""ลำพูน!M461"")"),77405)</f>
        <v>77405</v>
      </c>
      <c r="O566" s="168">
        <f t="shared" ca="1" si="122"/>
        <v>61.006462799495587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IFERROR(__xludf.DUMMYFUNCTION("IMPORTRANGE(""https://docs.google.com/spreadsheets/d/11923uPwbBZFjjGgGUA6NLw09EwE0CqkOc4q9oUmW1yo/edit?usp=sharing"",""ลำพูน!M463"")"),77405)</f>
        <v>77405</v>
      </c>
      <c r="O568" s="168">
        <f t="shared" ca="1" si="122"/>
        <v>61.006462799495587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IFERROR(__xludf.DUMMYFUNCTION("IMPORTRANGE(""https://docs.google.com/spreadsheets/d/11923uPwbBZFjjGgGUA6NLw09EwE0CqkOc4q9oUmW1yo/edit?usp=sharing"",""ลำพูน!M466"")"),64935)</f>
        <v>64935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IFERROR(__xludf.DUMMYFUNCTION("IMPORTRANGE(""https://docs.google.com/spreadsheets/d/11923uPwbBZFjjGgGUA6NLw09EwE0CqkOc4q9oUmW1yo/edit?usp=sharing"",""ลำพูน!M467"")"),12470)</f>
        <v>12470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IFERROR(__xludf.DUMMYFUNCTION("IMPORTRANGE(""https://docs.google.com/spreadsheets/d/11923uPwbBZFjjGgGUA6NLw09EwE0CqkOc4q9oUmW1yo/edit?usp=sharing"",""ลำพูน!J468"")"),1474)</f>
        <v>1474</v>
      </c>
      <c r="K573" s="201">
        <f ca="1">IF(I573&gt;0,J573*100/I573,0)</f>
        <v>226.76923076923077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IFERROR(__xludf.DUMMYFUNCTION("IMPORTRANGE(""https://docs.google.com/spreadsheets/d/11923uPwbBZFjjGgGUA6NLw09EwE0CqkOc4q9oUmW1yo/edit?usp=sharing"",""ลำพูน!J471"")"),370)</f>
        <v>370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IFERROR(__xludf.DUMMYFUNCTION("IMPORTRANGE(""https://docs.google.com/spreadsheets/d/11923uPwbBZFjjGgGUA6NLw09EwE0CqkOc4q9oUmW1yo/edit?usp=sharing"",""ลำพูน!J472"")"),1104)</f>
        <v>1104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IFERROR(__xludf.DUMMYFUNCTION("IMPORTRANGE(""https://docs.google.com/spreadsheets/d/11923uPwbBZFjjGgGUA6NLw09EwE0CqkOc4q9oUmW1yo/edit?usp=sharing"",""ลำพูน!J475"")"),3)</f>
        <v>3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IFERROR(__xludf.DUMMYFUNCTION("IMPORTRANGE(""https://docs.google.com/spreadsheets/d/11923uPwbBZFjjGgGUA6NLw09EwE0CqkOc4q9oUmW1yo/edit?usp=sharing"",""ลำพูน!J486"")"),3)</f>
        <v>3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IFERROR(__xludf.DUMMYFUNCTION("IMPORTRANGE(""https://docs.google.com/spreadsheets/d/11923uPwbBZFjjGgGUA6NLw09EwE0CqkOc4q9oUmW1yo/edit?usp=sharing"",""ลำพูน!J487"")"),1.82)</f>
        <v>1.82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IFERROR(__xludf.DUMMYFUNCTION("IMPORTRANGE(""https://docs.google.com/spreadsheets/d/11923uPwbBZFjjGgGUA6NLw09EwE0CqkOc4q9oUmW1yo/edit?usp=sharing"",""ลำพูน!J490"")"),3)</f>
        <v>3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IFERROR(__xludf.DUMMYFUNCTION("IMPORTRANGE(""https://docs.google.com/spreadsheets/d/11923uPwbBZFjjGgGUA6NLw09EwE0CqkOc4q9oUmW1yo/edit?usp=sharing"",""ลำพูน!J491"")"),1.82)</f>
        <v>1.82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8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IFERROR(__xludf.DUMMYFUNCTION("IMPORTRANGE(""https://docs.google.com/spreadsheets/d/11923uPwbBZFjjGgGUA6NLw09EwE0CqkOc4q9oUmW1yo/edit?usp=sharing"",""ลำพูน!L492"")"),4550)</f>
        <v>4550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18.681318681318682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IFERROR(__xludf.DUMMYFUNCTION("IMPORTRANGE(""https://docs.google.com/spreadsheets/d/11923uPwbBZFjjGgGUA6NLw09EwE0CqkOc4q9oUmW1yo/edit?usp=sharing"",""ลำพูน!J523"")"),5802594)</f>
        <v>5802594</v>
      </c>
      <c r="K628" s="342">
        <f t="shared" ref="K628:K635" ca="1" si="129">IF(I628&gt;0,J628*100/I628,0)</f>
        <v>88.218836944127702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IFERROR(__xludf.DUMMYFUNCTION("IMPORTRANGE(""https://docs.google.com/spreadsheets/d/11923uPwbBZFjjGgGUA6NLw09EwE0CqkOc4q9oUmW1yo/edit?usp=sharing"",""ลำพูน!J524"")"),202)</f>
        <v>202</v>
      </c>
      <c r="K629" s="342">
        <f t="shared" ca="1" si="129"/>
        <v>92.237442922374427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IFERROR(__xludf.DUMMYFUNCTION("IMPORTRANGE(""https://docs.google.com/spreadsheets/d/11923uPwbBZFjjGgGUA6NLw09EwE0CqkOc4q9oUmW1yo/edit?usp=sharing"",""ลำพูน!J525"")"),263300.8)</f>
        <v>263300.8</v>
      </c>
      <c r="K630" s="342">
        <f t="shared" ca="1" si="129"/>
        <v>4.8214196893938803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IFERROR(__xludf.DUMMYFUNCTION("IMPORTRANGE(""https://docs.google.com/spreadsheets/d/11923uPwbBZFjjGgGUA6NLw09EwE0CqkOc4q9oUmW1yo/edit?usp=sharing"",""ลำพูน!J526"")"),35)</f>
        <v>35</v>
      </c>
      <c r="K631" s="342">
        <f t="shared" ca="1" si="129"/>
        <v>16.431924882629108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IFERROR(__xludf.DUMMYFUNCTION("IMPORTRANGE(""https://docs.google.com/spreadsheets/d/11923uPwbBZFjjGgGUA6NLw09EwE0CqkOc4q9oUmW1yo/edit?usp=sharing"",""ลำพูน!J527"")"),440619.42)</f>
        <v>440619.42</v>
      </c>
      <c r="K632" s="342">
        <f t="shared" ca="1" si="129"/>
        <v>12.732263004838888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IFERROR(__xludf.DUMMYFUNCTION("IMPORTRANGE(""https://docs.google.com/spreadsheets/d/11923uPwbBZFjjGgGUA6NLw09EwE0CqkOc4q9oUmW1yo/edit?usp=sharing"",""ลำพูน!J528"")"),174)</f>
        <v>174</v>
      </c>
      <c r="K633" s="342">
        <f t="shared" ca="1" si="129"/>
        <v>37.179487179487182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IFERROR(__xludf.DUMMYFUNCTION("IMPORTRANGE(""https://docs.google.com/spreadsheets/d/11923uPwbBZFjjGgGUA6NLw09EwE0CqkOc4q9oUmW1yo/edit?usp=sharing"",""ลำพูน!J529"")"),5440000)</f>
        <v>5440000</v>
      </c>
      <c r="K634" s="342">
        <f t="shared" ca="1" si="129"/>
        <v>77.714285714285708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IFERROR(__xludf.DUMMYFUNCTION("IMPORTRANGE(""https://docs.google.com/spreadsheets/d/11923uPwbBZFjjGgGUA6NLw09EwE0CqkOc4q9oUmW1yo/edit?usp=sharing"",""ลำพูน!I530"")"),230)</f>
        <v>230</v>
      </c>
      <c r="J635" s="505">
        <f ca="1">IFERROR(__xludf.DUMMYFUNCTION("IMPORTRANGE(""https://docs.google.com/spreadsheets/d/11923uPwbBZFjjGgGUA6NLw09EwE0CqkOc4q9oUmW1yo/edit?usp=sharing"",""ลำพูน!J530"")"),176)</f>
        <v>176</v>
      </c>
      <c r="K635" s="487">
        <f t="shared" ca="1" si="129"/>
        <v>76.521739130434781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33500</v>
      </c>
      <c r="M636" s="511"/>
      <c r="N636" s="510">
        <f ca="1">SUM(N637:N638)</f>
        <v>4600</v>
      </c>
      <c r="O636" s="510">
        <f t="shared" ref="O636:O640" ca="1" si="130">+IF(L636&gt;0,N636*100/L636,0)</f>
        <v>13.73134328358209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33500</v>
      </c>
      <c r="M638" s="521"/>
      <c r="N638" s="522">
        <f ca="1">SUM(N639:N640)</f>
        <v>4600</v>
      </c>
      <c r="O638" s="522">
        <f t="shared" ca="1" si="130"/>
        <v>13.73134328358209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33500</v>
      </c>
      <c r="M640" s="521"/>
      <c r="N640" s="522">
        <f ca="1">SUM(N641:N644)</f>
        <v>4600</v>
      </c>
      <c r="O640" s="522">
        <f t="shared" ca="1" si="130"/>
        <v>13.73134328358209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4600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IFERROR(__xludf.DUMMYFUNCTION("IMPORTRANGE(""https://docs.google.com/spreadsheets/d/11923uPwbBZFjjGgGUA6NLw09EwE0CqkOc4q9oUmW1yo/edit?usp=sharing"",""ลำพูน!J541"")"),0)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IFERROR(__xludf.DUMMYFUNCTION("IMPORTRANGE(""https://docs.google.com/spreadsheets/d/11923uPwbBZFjjGgGUA6NLw09EwE0CqkOc4q9oUmW1yo/edit?usp=sharing"",""ลำพูน!J542"")"),0)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IFERROR(__xludf.DUMMYFUNCTION("IMPORTRANGE(""https://docs.google.com/spreadsheets/d/11923uPwbBZFjjGgGUA6NLw09EwE0CqkOc4q9oUmW1yo/edit?usp=sharing"",""ลำพูน!I543"")"),0)</f>
        <v>0</v>
      </c>
      <c r="J648" s="536">
        <f ca="1">IFERROR(__xludf.DUMMYFUNCTION("IMPORTRANGE(""https://docs.google.com/spreadsheets/d/11923uPwbBZFjjGgGUA6NLw09EwE0CqkOc4q9oUmW1yo/edit?usp=sharing"",""ลำพูน!J543"")"),0)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IFERROR(__xludf.DUMMYFUNCTION("IMPORTRANGE(""https://docs.google.com/spreadsheets/d/11923uPwbBZFjjGgGUA6NLw09EwE0CqkOc4q9oUmW1yo/edit?usp=sharing"",""ลำพูน!L543"")"),0)</f>
        <v>0</v>
      </c>
      <c r="M648" s="521"/>
      <c r="N648" s="538">
        <f ca="1">IFERROR(__xludf.DUMMYFUNCTION("IMPORTRANGE(""https://docs.google.com/spreadsheets/d/11923uPwbBZFjjGgGUA6NLw09EwE0CqkOc4q9oUmW1yo/edit?usp=sharing"",""ลำพูน!M543"")"),0)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IFERROR(__xludf.DUMMYFUNCTION("IMPORTRANGE(""https://docs.google.com/spreadsheets/d/11923uPwbBZFjjGgGUA6NLw09EwE0CqkOc4q9oUmW1yo/edit?usp=sharing"",""ลำพูน!I544"")"),24)</f>
        <v>24</v>
      </c>
      <c r="J649" s="536">
        <f ca="1">IFERROR(__xludf.DUMMYFUNCTION("IMPORTRANGE(""https://docs.google.com/spreadsheets/d/11923uPwbBZFjjGgGUA6NLw09EwE0CqkOc4q9oUmW1yo/edit?usp=sharing"",""ลำพูน!J544"")"),0)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IFERROR(__xludf.DUMMYFUNCTION("IMPORTRANGE(""https://docs.google.com/spreadsheets/d/11923uPwbBZFjjGgGUA6NLw09EwE0CqkOc4q9oUmW1yo/edit?usp=sharing"",""ลำพูน!L544"")"),2880)</f>
        <v>2880</v>
      </c>
      <c r="M649" s="521"/>
      <c r="N649" s="538">
        <f ca="1">IFERROR(__xludf.DUMMYFUNCTION("IMPORTRANGE(""https://docs.google.com/spreadsheets/d/11923uPwbBZFjjGgGUA6NLw09EwE0CqkOc4q9oUmW1yo/edit?usp=sharing"",""ลำพูน!M544"")"),2560)</f>
        <v>2560</v>
      </c>
      <c r="O649" s="537">
        <f t="shared" ca="1" si="132"/>
        <v>88.888888888888886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IFERROR(__xludf.DUMMYFUNCTION("IMPORTRANGE(""https://docs.google.com/spreadsheets/d/11923uPwbBZFjjGgGUA6NLw09EwE0CqkOc4q9oUmW1yo/edit?usp=sharing"",""ลำพูน!I545"")"),200)</f>
        <v>200</v>
      </c>
      <c r="J650" s="536">
        <f ca="1">IFERROR(__xludf.DUMMYFUNCTION("IMPORTRANGE(""https://docs.google.com/spreadsheets/d/11923uPwbBZFjjGgGUA6NLw09EwE0CqkOc4q9oUmW1yo/edit?usp=sharing"",""ลำพูน!J545"")"),0)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IFERROR(__xludf.DUMMYFUNCTION("IMPORTRANGE(""https://docs.google.com/spreadsheets/d/11923uPwbBZFjjGgGUA6NLw09EwE0CqkOc4q9oUmW1yo/edit?usp=sharing"",""ลำพูน!L545"")"),1000)</f>
        <v>1000</v>
      </c>
      <c r="M650" s="521"/>
      <c r="N650" s="538">
        <f ca="1">IFERROR(__xludf.DUMMYFUNCTION("IMPORTRANGE(""https://docs.google.com/spreadsheets/d/11923uPwbBZFjjGgGUA6NLw09EwE0CqkOc4q9oUmW1yo/edit?usp=sharing"",""ลำพูน!M545"")"),0)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IFERROR(__xludf.DUMMYFUNCTION("IMPORTRANGE(""https://docs.google.com/spreadsheets/d/11923uPwbBZFjjGgGUA6NLw09EwE0CqkOc4q9oUmW1yo/edit?usp=sharing"",""ลำพูน!I546"")"),100)</f>
        <v>100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IFERROR(__xludf.DUMMYFUNCTION("IMPORTRANGE(""https://docs.google.com/spreadsheets/d/11923uPwbBZFjjGgGUA6NLw09EwE0CqkOc4q9oUmW1yo/edit?usp=sharing"",""ลำพูน!L546"")"),2500)</f>
        <v>2500</v>
      </c>
      <c r="M651" s="521"/>
      <c r="N651" s="538">
        <f ca="1">IFERROR(__xludf.DUMMYFUNCTION("IMPORTRANGE(""https://docs.google.com/spreadsheets/d/11923uPwbBZFjjGgGUA6NLw09EwE0CqkOc4q9oUmW1yo/edit?usp=sharing"",""ลำพูน!M546"")"),0)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IFERROR(__xludf.DUMMYFUNCTION("IMPORTRANGE(""https://docs.google.com/spreadsheets/d/11923uPwbBZFjjGgGUA6NLw09EwE0CqkOc4q9oUmW1yo/edit?usp=sharing"",""ลำพูน!J547"")"),0)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IFERROR(__xludf.DUMMYFUNCTION("IMPORTRANGE(""https://docs.google.com/spreadsheets/d/11923uPwbBZFjjGgGUA6NLw09EwE0CqkOc4q9oUmW1yo/edit?usp=sharing"",""ลำพูน!J548"")"),0)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IFERROR(__xludf.DUMMYFUNCTION("IMPORTRANGE(""https://docs.google.com/spreadsheets/d/11923uPwbBZFjjGgGUA6NLw09EwE0CqkOc4q9oUmW1yo/edit?usp=sharing"",""ลำพูน!J550"")"),0)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IFERROR(__xludf.DUMMYFUNCTION("IMPORTRANGE(""https://docs.google.com/spreadsheets/d/11923uPwbBZFjjGgGUA6NLw09EwE0CqkOc4q9oUmW1yo/edit?usp=sharing"",""ลำพูน!J551"")"),0)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IFERROR(__xludf.DUMMYFUNCTION("IMPORTRANGE(""https://docs.google.com/spreadsheets/d/11923uPwbBZFjjGgGUA6NLw09EwE0CqkOc4q9oUmW1yo/edit?usp=sharing"",""ลำพูน!J552"")"),0)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IFERROR(__xludf.DUMMYFUNCTION("IMPORTRANGE(""https://docs.google.com/spreadsheets/d/11923uPwbBZFjjGgGUA6NLw09EwE0CqkOc4q9oUmW1yo/edit?usp=sharing"",""ลำพูน!J553"")"),0)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IFERROR(__xludf.DUMMYFUNCTION("IMPORTRANGE(""https://docs.google.com/spreadsheets/d/11923uPwbBZFjjGgGUA6NLw09EwE0CqkOc4q9oUmW1yo/edit?usp=sharing"",""ลำพูน!J554"")"),0)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IFERROR(__xludf.DUMMYFUNCTION("IMPORTRANGE(""https://docs.google.com/spreadsheets/d/11923uPwbBZFjjGgGUA6NLw09EwE0CqkOc4q9oUmW1yo/edit?usp=sharing"",""ลำพูน!J555"")"),0)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IFERROR(__xludf.DUMMYFUNCTION("IMPORTRANGE(""https://docs.google.com/spreadsheets/d/11923uPwbBZFjjGgGUA6NLw09EwE0CqkOc4q9oUmW1yo/edit?usp=sharing"",""ลำพูน!J556"")"),0)</f>
        <v>0</v>
      </c>
      <c r="K661" s="537"/>
      <c r="L661" s="522">
        <f ca="1">IFERROR(__xludf.DUMMYFUNCTION("IMPORTRANGE(""https://docs.google.com/spreadsheets/d/11923uPwbBZFjjGgGUA6NLw09EwE0CqkOc4q9oUmW1yo/edit?usp=sharing"",""ลำพูน!L556"")"),16000)</f>
        <v>16000</v>
      </c>
      <c r="M661" s="521"/>
      <c r="N661" s="538">
        <f ca="1">IFERROR(__xludf.DUMMYFUNCTION("IMPORTRANGE(""https://docs.google.com/spreadsheets/d/11923uPwbBZFjjGgGUA6NLw09EwE0CqkOc4q9oUmW1yo/edit?usp=sharing"",""ลำพูน!M556"")"),0)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IFERROR(__xludf.DUMMYFUNCTION("IMPORTRANGE(""https://docs.google.com/spreadsheets/d/11923uPwbBZFjjGgGUA6NLw09EwE0CqkOc4q9oUmW1yo/edit?usp=sharing"",""ลำพูน!J557"")"),0)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IFERROR(__xludf.DUMMYFUNCTION("IMPORTRANGE(""https://docs.google.com/spreadsheets/d/11923uPwbBZFjjGgGUA6NLw09EwE0CqkOc4q9oUmW1yo/edit?usp=sharing"",""ลำพูน!I558"")"),400)</f>
        <v>400</v>
      </c>
      <c r="J663" s="536">
        <f ca="1">IFERROR(__xludf.DUMMYFUNCTION("IMPORTRANGE(""https://docs.google.com/spreadsheets/d/11923uPwbBZFjjGgGUA6NLw09EwE0CqkOc4q9oUmW1yo/edit?usp=sharing"",""ลำพูน!J558"")"),0)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IFERROR(__xludf.DUMMYFUNCTION("IMPORTRANGE(""https://docs.google.com/spreadsheets/d/11923uPwbBZFjjGgGUA6NLw09EwE0CqkOc4q9oUmW1yo/edit?usp=sharing"",""ลำพูน!I560"")"),20)</f>
        <v>20</v>
      </c>
      <c r="J665" s="536">
        <f ca="1">IFERROR(__xludf.DUMMYFUNCTION("IMPORTRANGE(""https://docs.google.com/spreadsheets/d/11923uPwbBZFjjGgGUA6NLw09EwE0CqkOc4q9oUmW1yo/edit?usp=sharing"",""ลำพูน!J560"")"),0)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IFERROR(__xludf.DUMMYFUNCTION("IMPORTRANGE(""https://docs.google.com/spreadsheets/d/11923uPwbBZFjjGgGUA6NLw09EwE0CqkOc4q9oUmW1yo/edit?usp=sharing"",""ลำพูน!L560"")"),2400)</f>
        <v>2400</v>
      </c>
      <c r="M665" s="521"/>
      <c r="N665" s="538">
        <f ca="1">IFERROR(__xludf.DUMMYFUNCTION("IMPORTRANGE(""https://docs.google.com/spreadsheets/d/11923uPwbBZFjjGgGUA6NLw09EwE0CqkOc4q9oUmW1yo/edit?usp=sharing"",""ลำพูน!M560"")"),2040)</f>
        <v>2040</v>
      </c>
      <c r="O665" s="537">
        <f ca="1">IF(L665&gt;0,N665*100/L665,0)</f>
        <v>85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IFERROR(__xludf.DUMMYFUNCTION("IMPORTRANGE(""https://docs.google.com/spreadsheets/d/11923uPwbBZFjjGgGUA6NLw09EwE0CqkOc4q9oUmW1yo/edit?usp=sharing"",""ลำพูน!J561"")"),0)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IFERROR(__xludf.DUMMYFUNCTION("IMPORTRANGE(""https://docs.google.com/spreadsheets/d/11923uPwbBZFjjGgGUA6NLw09EwE0CqkOc4q9oUmW1yo/edit?usp=sharing"",""ลำพูน!J562"")"),0)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IFERROR(__xludf.DUMMYFUNCTION("IMPORTRANGE(""https://docs.google.com/spreadsheets/d/11923uPwbBZFjjGgGUA6NLw09EwE0CqkOc4q9oUmW1yo/edit?usp=sharing"",""ลำพูน!I563"")"),6)</f>
        <v>6</v>
      </c>
      <c r="J668" s="536">
        <f ca="1">IFERROR(__xludf.DUMMYFUNCTION("IMPORTRANGE(""https://docs.google.com/spreadsheets/d/11923uPwbBZFjjGgGUA6NLw09EwE0CqkOc4q9oUmW1yo/edit?usp=sharing"",""ลำพูน!J563"")"),0)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IFERROR(__xludf.DUMMYFUNCTION("IMPORTRANGE(""https://docs.google.com/spreadsheets/d/11923uPwbBZFjjGgGUA6NLw09EwE0CqkOc4q9oUmW1yo/edit?usp=sharing"",""ลำพูน!L563"")"),5520)</f>
        <v>5520</v>
      </c>
      <c r="M668" s="521"/>
      <c r="N668" s="538">
        <f ca="1">IFERROR(__xludf.DUMMYFUNCTION("IMPORTRANGE(""https://docs.google.com/spreadsheets/d/11923uPwbBZFjjGgGUA6NLw09EwE0CqkOc4q9oUmW1yo/edit?usp=sharing"",""ลำพูน!M563"")"),0)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IFERROR(__xludf.DUMMYFUNCTION("IMPORTRANGE(""https://docs.google.com/spreadsheets/d/11923uPwbBZFjjGgGUA6NLw09EwE0CqkOc4q9oUmW1yo/edit?usp=sharing"",""ลำพูน!J564"")"),0)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IFERROR(__xludf.DUMMYFUNCTION("IMPORTRANGE(""https://docs.google.com/spreadsheets/d/11923uPwbBZFjjGgGUA6NLw09EwE0CqkOc4q9oUmW1yo/edit?usp=sharing"",""ลำพูน!J565"")"),0)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IFERROR(__xludf.DUMMYFUNCTION("IMPORTRANGE(""https://docs.google.com/spreadsheets/d/11923uPwbBZFjjGgGUA6NLw09EwE0CqkOc4q9oUmW1yo/edit?usp=sharing"",""ลำพูน!I566"")"),40)</f>
        <v>40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IFERROR(__xludf.DUMMYFUNCTION("IMPORTRANGE(""https://docs.google.com/spreadsheets/d/11923uPwbBZFjjGgGUA6NLw09EwE0CqkOc4q9oUmW1yo/edit?usp=sharing"",""ลำพูน!L566"")"),3200)</f>
        <v>3200</v>
      </c>
      <c r="M671" s="521"/>
      <c r="N671" s="538">
        <f ca="1">IFERROR(__xludf.DUMMYFUNCTION("IMPORTRANGE(""https://docs.google.com/spreadsheets/d/11923uPwbBZFjjGgGUA6NLw09EwE0CqkOc4q9oUmW1yo/edit?usp=sharing"",""ลำพูน!M566"")"),0)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IFERROR(__xludf.DUMMYFUNCTION("IMPORTRANGE(""https://docs.google.com/spreadsheets/d/11923uPwbBZFjjGgGUA6NLw09EwE0CqkOc4q9oUmW1yo/edit?usp=sharing"",""ลำพูน!J567"")"),0)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IFERROR(__xludf.DUMMYFUNCTION("IMPORTRANGE(""https://docs.google.com/spreadsheets/d/11923uPwbBZFjjGgGUA6NLw09EwE0CqkOc4q9oUmW1yo/edit?usp=sharing"",""ลำพูน!J568"")"),0)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IFERROR(__xludf.DUMMYFUNCTION("IMPORTRANGE(""https://docs.google.com/spreadsheets/d/11923uPwbBZFjjGgGUA6NLw09EwE0CqkOc4q9oUmW1yo/edit?usp=sharing"",""ลำพูน!J569"")"),0)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IFERROR(__xludf.DUMMYFUNCTION("IMPORTRANGE(""https://docs.google.com/spreadsheets/d/11923uPwbBZFjjGgGUA6NLw09EwE0CqkOc4q9oUmW1yo/edit?usp=sharing"",""ลำพูน!J570"")"),0)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IFERROR(__xludf.DUMMYFUNCTION("IMPORTRANGE(""https://docs.google.com/spreadsheets/d/11923uPwbBZFjjGgGUA6NLw09EwE0CqkOc4q9oUmW1yo/edit?usp=sharing"",""ลำพูน!J571"")"),0)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IFERROR(__xludf.DUMMYFUNCTION("IMPORTRANGE(""https://docs.google.com/spreadsheets/d/11923uPwbBZFjjGgGUA6NLw09EwE0CqkOc4q9oUmW1yo/edit?usp=sharing"",""ลำพูน!J572"")"),0)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288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5654002</v>
      </c>
      <c r="M8" s="23">
        <f t="shared" ca="1" si="0"/>
        <v>3803784</v>
      </c>
      <c r="N8" s="23">
        <f t="shared" ca="1" si="0"/>
        <v>4291132.5299999993</v>
      </c>
      <c r="O8" s="22">
        <f t="shared" ref="O8:O16" ca="1" si="1">IF(L8&gt;0,N8*100/L8,0)</f>
        <v>75.89549013247607</v>
      </c>
      <c r="P8" s="22">
        <f t="shared" ref="P8:P16" ca="1" si="2">IF(M8&gt;0,N8*100/M8,0)</f>
        <v>112.81220305884875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5654002</v>
      </c>
      <c r="M10" s="30">
        <f t="shared" ca="1" si="4"/>
        <v>3803784</v>
      </c>
      <c r="N10" s="30">
        <f t="shared" ca="1" si="4"/>
        <v>4291132.5299999993</v>
      </c>
      <c r="O10" s="29">
        <f t="shared" ca="1" si="1"/>
        <v>75.89549013247607</v>
      </c>
      <c r="P10" s="29">
        <f t="shared" ca="1" si="2"/>
        <v>112.81220305884875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5478002</v>
      </c>
      <c r="M12" s="39">
        <f t="shared" ca="1" si="6"/>
        <v>3627784</v>
      </c>
      <c r="N12" s="39">
        <f t="shared" ca="1" si="6"/>
        <v>4115132.5299999993</v>
      </c>
      <c r="O12" s="39">
        <f t="shared" ca="1" si="1"/>
        <v>75.121048331125095</v>
      </c>
      <c r="P12" s="39">
        <f t="shared" ca="1" si="2"/>
        <v>113.43378023608901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2053100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3424902</v>
      </c>
      <c r="M14" s="39">
        <f t="shared" si="8"/>
        <v>0</v>
      </c>
      <c r="N14" s="39">
        <f t="shared" ca="1" si="8"/>
        <v>1272636.3299999998</v>
      </c>
      <c r="O14" s="39">
        <f t="shared" ca="1" si="1"/>
        <v>37.158328325890778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3651019</v>
      </c>
      <c r="M18" s="23">
        <f t="shared" ca="1" si="11"/>
        <v>3803784</v>
      </c>
      <c r="N18" s="23">
        <f t="shared" ca="1" si="11"/>
        <v>3018496.1999999997</v>
      </c>
      <c r="O18" s="22">
        <f t="shared" ref="O18:O20" ca="1" si="12">IF(L18&gt;0,N18*100/L18,0)</f>
        <v>82.67544485525822</v>
      </c>
      <c r="P18" s="22">
        <f t="shared" ref="P18:P26" ca="1" si="13">IF(M18&gt;0,N18*100/M18,0)</f>
        <v>79.355089563445247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3651019</v>
      </c>
      <c r="M20" s="30">
        <f t="shared" ca="1" si="15"/>
        <v>3803784</v>
      </c>
      <c r="N20" s="30">
        <f t="shared" ca="1" si="15"/>
        <v>3018496.1999999997</v>
      </c>
      <c r="O20" s="29">
        <f t="shared" ca="1" si="12"/>
        <v>82.67544485525822</v>
      </c>
      <c r="P20" s="29">
        <f t="shared" ca="1" si="13"/>
        <v>79.355089563445247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3475019</v>
      </c>
      <c r="M22" s="42">
        <f t="shared" ca="1" si="18"/>
        <v>3627784</v>
      </c>
      <c r="N22" s="39">
        <f t="shared" ca="1" si="18"/>
        <v>2842496.1999999997</v>
      </c>
      <c r="O22" s="39">
        <f t="shared" ca="1" si="17"/>
        <v>81.798004557672925</v>
      </c>
      <c r="P22" s="39">
        <f t="shared" ca="1" si="13"/>
        <v>78.353512778048525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2053100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1421919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2002983</v>
      </c>
      <c r="M28" s="23">
        <f t="shared" si="23"/>
        <v>0</v>
      </c>
      <c r="N28" s="23">
        <f t="shared" ca="1" si="23"/>
        <v>1272636.3299999998</v>
      </c>
      <c r="O28" s="22">
        <f t="shared" ref="O28:O30" ca="1" si="24">IF(L28&gt;0,N28*100/L28,0)</f>
        <v>63.537050988450716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2002983</v>
      </c>
      <c r="M30" s="30">
        <f t="shared" si="27"/>
        <v>0</v>
      </c>
      <c r="N30" s="30">
        <f t="shared" ca="1" si="27"/>
        <v>1272636.3299999998</v>
      </c>
      <c r="O30" s="29">
        <f t="shared" ca="1" si="24"/>
        <v>63.537050988450716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2002983</v>
      </c>
      <c r="M32" s="39">
        <f t="shared" si="30"/>
        <v>0</v>
      </c>
      <c r="N32" s="39">
        <f t="shared" ca="1" si="30"/>
        <v>1272636.3299999998</v>
      </c>
      <c r="O32" s="39">
        <f t="shared" ca="1" si="29"/>
        <v>63.537050988450716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2002983</v>
      </c>
      <c r="M34" s="39">
        <f t="shared" si="32"/>
        <v>0</v>
      </c>
      <c r="N34" s="39">
        <f t="shared" ca="1" si="32"/>
        <v>1272636.3299999998</v>
      </c>
      <c r="O34" s="39">
        <f t="shared" ca="1" si="29"/>
        <v>63.537050988450716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3651019</v>
      </c>
      <c r="M37" s="55">
        <f t="shared" ca="1" si="33"/>
        <v>3803784</v>
      </c>
      <c r="N37" s="55">
        <f t="shared" ca="1" si="33"/>
        <v>3018496.1999999997</v>
      </c>
      <c r="O37" s="56">
        <f t="shared" ca="1" si="29"/>
        <v>82.67544485525822</v>
      </c>
      <c r="P37" s="56">
        <f t="shared" ca="1" si="25"/>
        <v>79.355089563445247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777100</v>
      </c>
      <c r="M41" s="79">
        <f t="shared" ca="1" si="34"/>
        <v>823020</v>
      </c>
      <c r="N41" s="79">
        <f t="shared" ca="1" si="34"/>
        <v>627754.62</v>
      </c>
      <c r="O41" s="78">
        <f t="shared" ref="O41:O43" ca="1" si="35">IF(L41&gt;0,N41*100/L41,0)</f>
        <v>80.781703770428521</v>
      </c>
      <c r="P41" s="78">
        <f t="shared" ref="P41:P43" ca="1" si="36">IF(M41&gt;0,N41*100/M41,0)</f>
        <v>76.274527958008306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777100</v>
      </c>
      <c r="M43" s="79">
        <f t="shared" ca="1" si="38"/>
        <v>823020</v>
      </c>
      <c r="N43" s="79">
        <f t="shared" ca="1" si="38"/>
        <v>627754.62</v>
      </c>
      <c r="O43" s="78">
        <f t="shared" ca="1" si="35"/>
        <v>80.781703770428521</v>
      </c>
      <c r="P43" s="78">
        <f t="shared" ca="1" si="36"/>
        <v>76.274527958008306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751100</v>
      </c>
      <c r="M45" s="50">
        <f ca="1">IFERROR(__xludf.DUMMYFUNCTION("IMPORTRANGE(""https://docs.google.com/spreadsheets/d/1Yj_ptqi66GCucihVvJfMjLAmec39IyEx_6qawtMGysU/edit?usp=sharing"",""สบก!Q34"")"),797020)</f>
        <v>797020</v>
      </c>
      <c r="N45" s="50">
        <f ca="1">IFERROR(__xludf.DUMMYFUNCTION("IMPORTRANGE(""https://docs.google.com/spreadsheets/d/1Yj_ptqi66GCucihVvJfMjLAmec39IyEx_6qawtMGysU/edit?usp=sharing"",""สบก!R34"")"),601754.62)</f>
        <v>601754.62</v>
      </c>
      <c r="O45" s="39">
        <f ca="1">IF(L45&gt;0,N45*100/L45,0)</f>
        <v>80.116445213686589</v>
      </c>
      <c r="P45" s="39">
        <f ca="1">IF(M45&gt;0,N45*100/M45,0)</f>
        <v>75.500567112494039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IFERROR(__xludf.DUMMYFUNCTION("IMPORTRANGE(""https://docs.google.com/spreadsheets/d/1Yj_ptqi66GCucihVvJfMjLAmec39IyEx_6qawtMGysU/edit?usp=sharing"",""สบก!M34"")"),751100)</f>
        <v>751100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478125</v>
      </c>
      <c r="N53" s="121">
        <f t="shared" ca="1" si="39"/>
        <v>472033.84</v>
      </c>
      <c r="O53" s="120">
        <f t="shared" ref="O53:O55" ca="1" si="40">IF(L53&gt;0,N53*100/L53,0)</f>
        <v>104.89640888888889</v>
      </c>
      <c r="P53" s="120">
        <f t="shared" ref="P53:P55" ca="1" si="41">IF(M53&gt;0,N53*100/M53,0)</f>
        <v>98.726031895424839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478125</v>
      </c>
      <c r="N55" s="121">
        <f t="shared" ca="1" si="43"/>
        <v>472033.84</v>
      </c>
      <c r="O55" s="120">
        <f t="shared" ca="1" si="40"/>
        <v>104.89640888888889</v>
      </c>
      <c r="P55" s="120">
        <f t="shared" ca="1" si="41"/>
        <v>98.726031895424839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IFERROR(__xludf.DUMMYFUNCTION("IMPORTRANGE(""https://docs.google.com/spreadsheets/d/1Yj_ptqi66GCucihVvJfMjLAmec39IyEx_6qawtMGysU/edit?usp=sharing"",""สบก!Z34"")"),478125)</f>
        <v>478125</v>
      </c>
      <c r="N57" s="50">
        <f ca="1">IFERROR(__xludf.DUMMYFUNCTION("IMPORTRANGE(""https://docs.google.com/spreadsheets/d/1Yj_ptqi66GCucihVvJfMjLAmec39IyEx_6qawtMGysU/edit?usp=sharing"",""สบก!AA34"")"),472033.84)</f>
        <v>472033.84</v>
      </c>
      <c r="O57" s="39">
        <f ca="1">IF(L57&gt;0,N57*100/L57,0)</f>
        <v>104.89640888888889</v>
      </c>
      <c r="P57" s="39">
        <f ca="1">IF(M57&gt;0,N57*100/M57,0)</f>
        <v>98.726031895424839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956800</v>
      </c>
      <c r="M66" s="152">
        <f t="shared" ca="1" si="45"/>
        <v>990820</v>
      </c>
      <c r="N66" s="152">
        <f t="shared" ca="1" si="45"/>
        <v>862957.61</v>
      </c>
      <c r="O66" s="151">
        <f t="shared" ref="O66:O68" ca="1" si="46">IF(L66&gt;0,N66*100/L66,0)</f>
        <v>90.19205790133779</v>
      </c>
      <c r="P66" s="151">
        <f t="shared" ref="P66:P68" ca="1" si="47">IF(M66&gt;0,N66*100/M66,0)</f>
        <v>87.095295815587093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956800</v>
      </c>
      <c r="M68" s="88">
        <f t="shared" ca="1" si="49"/>
        <v>990820</v>
      </c>
      <c r="N68" s="88">
        <f t="shared" ca="1" si="49"/>
        <v>862957.61</v>
      </c>
      <c r="O68" s="156">
        <f t="shared" ca="1" si="46"/>
        <v>90.19205790133779</v>
      </c>
      <c r="P68" s="156">
        <f t="shared" ca="1" si="47"/>
        <v>87.095295815587093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IFERROR(__xludf.DUMMYFUNCTION("IMPORTRANGE(""https://docs.google.com/spreadsheets/d/1Yj_ptqi66GCucihVvJfMjLAmec39IyEx_6qawtMGysU/edit?usp=sharing"",""สบก!AI34"")"),840820)</f>
        <v>840820</v>
      </c>
      <c r="N70" s="168">
        <f ca="1">IFERROR(__xludf.DUMMYFUNCTION("IMPORTRANGE(""https://docs.google.com/spreadsheets/d/1Yj_ptqi66GCucihVvJfMjLAmec39IyEx_6qawtMGysU/edit?usp=sharing"",""สบก!AJ34"")"),712957.61)</f>
        <v>712957.61</v>
      </c>
      <c r="O70" s="168">
        <f ca="1">IF(L70&gt;0,N70*100/L70,0)</f>
        <v>88.368568418443232</v>
      </c>
      <c r="P70" s="168">
        <f ca="1">IF(M70&gt;0,N70*100/M70,0)</f>
        <v>84.793131704764392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IFERROR(__xludf.DUMMYFUNCTION("IMPORTRANGE(""https://docs.google.com/spreadsheets/d/11923uPwbBZFjjGgGUA6NLw09EwE0CqkOc4q9oUmW1yo/edit?usp=sharing"",""สุโขทัย!J28"")"),3)</f>
        <v>3</v>
      </c>
      <c r="K88" s="163">
        <f t="shared" ca="1" si="50"/>
        <v>300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IFERROR(__xludf.DUMMYFUNCTION("IMPORTRANGE(""https://docs.google.com/spreadsheets/d/11923uPwbBZFjjGgGUA6NLw09EwE0CqkOc4q9oUmW1yo/edit?usp=sharing"",""สุโขทัย!J52"")"),40)</f>
        <v>40</v>
      </c>
      <c r="K117" s="143">
        <f ca="1">IF(I117&gt;0,J117*100/I117,0)</f>
        <v>200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211494</v>
      </c>
      <c r="M118" s="152">
        <f t="shared" ca="1" si="58"/>
        <v>210494</v>
      </c>
      <c r="N118" s="152">
        <f t="shared" ca="1" si="58"/>
        <v>193847</v>
      </c>
      <c r="O118" s="151">
        <f t="shared" ref="O118:O120" ca="1" si="59">IF(L118&gt;0,N118*100/L118,0)</f>
        <v>91.656028066990075</v>
      </c>
      <c r="P118" s="151">
        <f t="shared" ref="P118:P120" ca="1" si="60">IF(M118&gt;0,N118*100/M118,0)</f>
        <v>92.091461039269532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211494</v>
      </c>
      <c r="M120" s="88">
        <f t="shared" ca="1" si="62"/>
        <v>210494</v>
      </c>
      <c r="N120" s="88">
        <f t="shared" ca="1" si="62"/>
        <v>193847</v>
      </c>
      <c r="O120" s="156">
        <f t="shared" ca="1" si="59"/>
        <v>91.656028066990075</v>
      </c>
      <c r="P120" s="156">
        <f t="shared" ca="1" si="60"/>
        <v>92.091461039269532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211494</v>
      </c>
      <c r="M122" s="167">
        <f ca="1">IFERROR(__xludf.DUMMYFUNCTION("IMPORTRANGE(""https://docs.google.com/spreadsheets/d/1Yj_ptqi66GCucihVvJfMjLAmec39IyEx_6qawtMGysU/edit?usp=sharing"",""สบก!BA34"")"),210494)</f>
        <v>210494</v>
      </c>
      <c r="N122" s="168">
        <f ca="1">IFERROR(__xludf.DUMMYFUNCTION("IMPORTRANGE(""https://docs.google.com/spreadsheets/d/1Yj_ptqi66GCucihVvJfMjLAmec39IyEx_6qawtMGysU/edit?usp=sharing"",""สบก!BB34"")"),193847)</f>
        <v>193847</v>
      </c>
      <c r="O122" s="168">
        <f ca="1">IF(L122&gt;0,N122*100/L122,0)</f>
        <v>91.656028066990075</v>
      </c>
      <c r="P122" s="168">
        <f ca="1">IF(M122&gt;0,N122*100/M122,0)</f>
        <v>92.091461039269532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IFERROR(__xludf.DUMMYFUNCTION("IMPORTRANGE(""https://docs.google.com/spreadsheets/d/1Yj_ptqi66GCucihVvJfMjLAmec39IyEx_6qawtMGysU/edit?usp=sharing"",""สบก!AX34"")"),211494)</f>
        <v>211494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IFERROR(__xludf.DUMMYFUNCTION("IMPORTRANGE(""https://docs.google.com/spreadsheets/d/11923uPwbBZFjjGgGUA6NLw09EwE0CqkOc4q9oUmW1yo/edit?usp=sharing"",""สุโขทัย!J62"")"),40)</f>
        <v>40</v>
      </c>
      <c r="K132" s="224">
        <f t="shared" ref="K132:K133" ca="1" si="63">IF(I132&gt;0,J132*100/I132,0)</f>
        <v>200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130600</v>
      </c>
      <c r="M140" s="152">
        <f t="shared" ca="1" si="64"/>
        <v>138600</v>
      </c>
      <c r="N140" s="152">
        <f t="shared" ca="1" si="64"/>
        <v>89235</v>
      </c>
      <c r="O140" s="151">
        <f t="shared" ref="O140:O142" ca="1" si="65">IF(L140&gt;0,N140*100/L140,0)</f>
        <v>68.326952526799388</v>
      </c>
      <c r="P140" s="151">
        <f t="shared" ref="P140:P142" ca="1" si="66">IF(M140&gt;0,N140*100/M140,0)</f>
        <v>64.383116883116884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130600</v>
      </c>
      <c r="M142" s="88">
        <f t="shared" ca="1" si="68"/>
        <v>138600</v>
      </c>
      <c r="N142" s="88">
        <f t="shared" ca="1" si="68"/>
        <v>89235</v>
      </c>
      <c r="O142" s="156">
        <f t="shared" ca="1" si="65"/>
        <v>68.326952526799388</v>
      </c>
      <c r="P142" s="156">
        <f t="shared" ca="1" si="66"/>
        <v>64.383116883116884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130600</v>
      </c>
      <c r="M144" s="167">
        <f ca="1">IFERROR(__xludf.DUMMYFUNCTION("IMPORTRANGE(""https://docs.google.com/spreadsheets/d/1Yj_ptqi66GCucihVvJfMjLAmec39IyEx_6qawtMGysU/edit?usp=sharing"",""สบก!BJ34"")"),138600)</f>
        <v>138600</v>
      </c>
      <c r="N144" s="168">
        <f ca="1">IFERROR(__xludf.DUMMYFUNCTION("IMPORTRANGE(""https://docs.google.com/spreadsheets/d/1Yj_ptqi66GCucihVvJfMjLAmec39IyEx_6qawtMGysU/edit?usp=sharing"",""สบก!BK34"")"),89235)</f>
        <v>89235</v>
      </c>
      <c r="O144" s="168">
        <f ca="1">IF(L144&gt;0,N144*100/L144,0)</f>
        <v>68.326952526799388</v>
      </c>
      <c r="P144" s="168">
        <f ca="1">IF(M144&gt;0,N144*100/M144,0)</f>
        <v>64.383116883116884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IFERROR(__xludf.DUMMYFUNCTION("IMPORTRANGE(""https://docs.google.com/spreadsheets/d/1Yj_ptqi66GCucihVvJfMjLAmec39IyEx_6qawtMGysU/edit?usp=sharing"",""สบก!BG34"")"),130600)</f>
        <v>130600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19295</v>
      </c>
      <c r="M222" s="88">
        <f t="shared" ca="1" si="76"/>
        <v>19295</v>
      </c>
      <c r="N222" s="88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237700</v>
      </c>
      <c r="N271" s="152">
        <f t="shared" ca="1" si="83"/>
        <v>144115.48000000001</v>
      </c>
      <c r="O271" s="151">
        <f t="shared" ref="O271:O273" ca="1" si="84">IF(L271&gt;0,N271*100/L271,0)</f>
        <v>60.629145982330677</v>
      </c>
      <c r="P271" s="151">
        <f t="shared" ref="P271:P273" ca="1" si="85">IF(M271&gt;0,N271*100/M271,0)</f>
        <v>60.629145982330677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237700</v>
      </c>
      <c r="N273" s="88">
        <f t="shared" ca="1" si="87"/>
        <v>144115.48000000001</v>
      </c>
      <c r="O273" s="156">
        <f t="shared" ca="1" si="84"/>
        <v>60.629145982330677</v>
      </c>
      <c r="P273" s="156">
        <f t="shared" ca="1" si="85"/>
        <v>60.629145982330677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IFERROR(__xludf.DUMMYFUNCTION("IMPORTRANGE(""https://docs.google.com/spreadsheets/d/1Yj_ptqi66GCucihVvJfMjLAmec39IyEx_6qawtMGysU/edit?usp=sharing"",""สบก!CK34"")"),237700)</f>
        <v>237700</v>
      </c>
      <c r="N275" s="168">
        <f ca="1">IFERROR(__xludf.DUMMYFUNCTION("IMPORTRANGE(""https://docs.google.com/spreadsheets/d/1Yj_ptqi66GCucihVvJfMjLAmec39IyEx_6qawtMGysU/edit?usp=sharing"",""สบก!CL34"")"),144115.48)</f>
        <v>144115.48000000001</v>
      </c>
      <c r="O275" s="168">
        <f ca="1">IF(L275&gt;0,N275*100/L275,0)</f>
        <v>60.629145982330677</v>
      </c>
      <c r="P275" s="168">
        <f ca="1">IF(M275&gt;0,N275*100/M275,0)</f>
        <v>60.629145982330677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IFERROR(__xludf.DUMMYFUNCTION("IMPORTRANGE(""https://docs.google.com/spreadsheets/d/11923uPwbBZFjjGgGUA6NLw09EwE0CqkOc4q9oUmW1yo/edit?usp=sharing"",""สุโขทัย!J228"")"),231)</f>
        <v>231</v>
      </c>
      <c r="K328" s="317">
        <f ca="1">IF(I328&gt;0,J328*100/I328,0)</f>
        <v>85.555555555555557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868030</v>
      </c>
      <c r="M329" s="152">
        <f t="shared" ca="1" si="98"/>
        <v>905730</v>
      </c>
      <c r="N329" s="152">
        <f t="shared" ca="1" si="98"/>
        <v>609257.65</v>
      </c>
      <c r="O329" s="151">
        <f t="shared" ref="O329:O331" ca="1" si="99">IF(L329&gt;0,N329*100/L329,0)</f>
        <v>70.188547630842251</v>
      </c>
      <c r="P329" s="151">
        <f t="shared" ref="P329:P331" ca="1" si="100">IF(M329&gt;0,N329*100/M329,0)</f>
        <v>67.267027701412118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868030</v>
      </c>
      <c r="M331" s="88">
        <f t="shared" ca="1" si="102"/>
        <v>905730</v>
      </c>
      <c r="N331" s="88">
        <f t="shared" ca="1" si="102"/>
        <v>609257.65</v>
      </c>
      <c r="O331" s="156">
        <f t="shared" ca="1" si="99"/>
        <v>70.188547630842251</v>
      </c>
      <c r="P331" s="156">
        <f t="shared" ca="1" si="100"/>
        <v>67.267027701412118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IFERROR(__xludf.DUMMYFUNCTION("IMPORTRANGE(""https://docs.google.com/spreadsheets/d/1Yj_ptqi66GCucihVvJfMjLAmec39IyEx_6qawtMGysU/edit?usp=sharing"",""สบก!DL34"")"),905730)</f>
        <v>905730</v>
      </c>
      <c r="N333" s="168">
        <f ca="1">IFERROR(__xludf.DUMMYFUNCTION("IMPORTRANGE(""https://docs.google.com/spreadsheets/d/1Yj_ptqi66GCucihVvJfMjLAmec39IyEx_6qawtMGysU/edit?usp=sharing"",""สบก!DM34"")"),609257.65)</f>
        <v>609257.65</v>
      </c>
      <c r="O333" s="168">
        <f ca="1">IF(L333&gt;0,N333*100/L333,0)</f>
        <v>70.188547630842251</v>
      </c>
      <c r="P333" s="168">
        <f ca="1">IF(M333&gt;0,N333*100/M333,0)</f>
        <v>67.267027701412118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IFERROR(__xludf.DUMMYFUNCTION("IMPORTRANGE(""https://docs.google.com/spreadsheets/d/11923uPwbBZFjjGgGUA6NLw09EwE0CqkOc4q9oUmW1yo/edit?usp=sharing"",""สุโขทัย!J234"")"),161)</f>
        <v>161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IFERROR(__xludf.DUMMYFUNCTION("IMPORTRANGE(""https://docs.google.com/spreadsheets/d/11923uPwbBZFjjGgGUA6NLw09EwE0CqkOc4q9oUmW1yo/edit?usp=sharing"",""สุโขทัย!J235"")"),1422.26)</f>
        <v>1422.26</v>
      </c>
      <c r="K340" s="342">
        <f t="shared" ca="1" si="103"/>
        <v>98.768055555555549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IFERROR(__xludf.DUMMYFUNCTION("IMPORTRANGE(""https://docs.google.com/spreadsheets/d/11923uPwbBZFjjGgGUA6NLw09EwE0CqkOc4q9oUmW1yo/edit?usp=sharing"",""สุโขทัย!J236"")"),337)</f>
        <v>337</v>
      </c>
      <c r="K341" s="342">
        <f t="shared" ca="1" si="103"/>
        <v>124.81481481481481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IFERROR(__xludf.DUMMYFUNCTION("IMPORTRANGE(""https://docs.google.com/spreadsheets/d/11923uPwbBZFjjGgGUA6NLw09EwE0CqkOc4q9oUmW1yo/edit?usp=sharing"",""สุโขทัย!J237"")"),3904.07)</f>
        <v>3904.07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IFERROR(__xludf.DUMMYFUNCTION("IMPORTRANGE(""https://docs.google.com/spreadsheets/d/11923uPwbBZFjjGgGUA6NLw09EwE0CqkOc4q9oUmW1yo/edit?usp=sharing"",""สุโขทัย!J240"")"),231)</f>
        <v>231</v>
      </c>
      <c r="K345" s="342">
        <f t="shared" ca="1" si="103"/>
        <v>85.555555555555557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IFERROR(__xludf.DUMMYFUNCTION("IMPORTRANGE(""https://docs.google.com/spreadsheets/d/11923uPwbBZFjjGgGUA6NLw09EwE0CqkOc4q9oUmW1yo/edit?usp=sharing"",""สุโขทัย!J241"")"),2871.10999999999)</f>
        <v>2871.1099999999901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IFERROR(__xludf.DUMMYFUNCTION("IMPORTRANGE(""https://docs.google.com/spreadsheets/d/11923uPwbBZFjjGgGUA6NLw09EwE0CqkOc4q9oUmW1yo/edit?usp=sharing"",""สุโขทัย!L242"")"),2002983)</f>
        <v>2002983</v>
      </c>
      <c r="M347" s="357"/>
      <c r="N347" s="357">
        <f ca="1">IFERROR(__xludf.DUMMYFUNCTION("IMPORTRANGE(""https://docs.google.com/spreadsheets/d/11923uPwbBZFjjGgGUA6NLw09EwE0CqkOc4q9oUmW1yo/edit?usp=sharing"",""สุโขทัย!M242"")"),1272636.32999999)</f>
        <v>1272636.3299999901</v>
      </c>
      <c r="O347" s="357">
        <f ca="1">+IF(L347&gt;0,N347*100/L347,0)</f>
        <v>63.537050988450225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IFERROR(__xludf.DUMMYFUNCTION("IMPORTRANGE(""https://docs.google.com/spreadsheets/d/11923uPwbBZFjjGgGUA6NLw09EwE0CqkOc4q9oUmW1yo/edit?usp=sharing"",""สุโขทัย!L244"")"),367080)</f>
        <v>367080</v>
      </c>
      <c r="M349" s="372"/>
      <c r="N349" s="372">
        <f ca="1">IFERROR(__xludf.DUMMYFUNCTION("IMPORTRANGE(""https://docs.google.com/spreadsheets/d/11923uPwbBZFjjGgGUA6NLw09EwE0CqkOc4q9oUmW1yo/edit?usp=sharing"",""สุโขทัย!M244"")"),278036.13)</f>
        <v>278036.13</v>
      </c>
      <c r="O349" s="372">
        <f ca="1">+IF(L349&gt;0,N349*100/L349,0)</f>
        <v>75.742652827721471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IFERROR(__xludf.DUMMYFUNCTION("IMPORTRANGE(""https://docs.google.com/spreadsheets/d/11923uPwbBZFjjGgGUA6NLw09EwE0CqkOc4q9oUmW1yo/edit?usp=sharing"",""สุโขทัย!M247"")"),278036.13)</f>
        <v>278036.13</v>
      </c>
      <c r="O352" s="165">
        <f t="shared" ca="1" si="105"/>
        <v>75.742652827721471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IFERROR(__xludf.DUMMYFUNCTION("IMPORTRANGE(""https://docs.google.com/spreadsheets/d/11923uPwbBZFjjGgGUA6NLw09EwE0CqkOc4q9oUmW1yo/edit?usp=sharing"",""สุโขทัย!M249"")"),278036.13)</f>
        <v>278036.13</v>
      </c>
      <c r="O354" s="168">
        <f t="shared" ca="1" si="105"/>
        <v>75.742652827721471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IFERROR(__xludf.DUMMYFUNCTION("IMPORTRANGE(""https://docs.google.com/spreadsheets/d/11923uPwbBZFjjGgGUA6NLw09EwE0CqkOc4q9oUmW1yo/edit?usp=sharing"",""สุโขทัย!M252"")"),85516.13)</f>
        <v>85516.13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IFERROR(__xludf.DUMMYFUNCTION("IMPORTRANGE(""https://docs.google.com/spreadsheets/d/11923uPwbBZFjjGgGUA6NLw09EwE0CqkOc4q9oUmW1yo/edit?usp=sharing"",""สุโขทัย!M253"")"),96520)</f>
        <v>96520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IFERROR(__xludf.DUMMYFUNCTION("IMPORTRANGE(""https://docs.google.com/spreadsheets/d/11923uPwbBZFjjGgGUA6NLw09EwE0CqkOc4q9oUmW1yo/edit?usp=sharing"",""สุโขทัย!M275"")"),67720)</f>
        <v>67720</v>
      </c>
      <c r="O380" s="372">
        <f ca="1">+IF(L380&gt;0,N380*100/L380,0)</f>
        <v>32.626710348814804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IFERROR(__xludf.DUMMYFUNCTION("IMPORTRANGE(""https://docs.google.com/spreadsheets/d/11923uPwbBZFjjGgGUA6NLw09EwE0CqkOc4q9oUmW1yo/edit?usp=sharing"",""สุโขทัย!M278"")"),67720)</f>
        <v>67720</v>
      </c>
      <c r="O383" s="165">
        <f t="shared" ca="1" si="109"/>
        <v>32.626710348814804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IFERROR(__xludf.DUMMYFUNCTION("IMPORTRANGE(""https://docs.google.com/spreadsheets/d/11923uPwbBZFjjGgGUA6NLw09EwE0CqkOc4q9oUmW1yo/edit?usp=sharing"",""สุโขทัย!M280"")"),67720)</f>
        <v>67720</v>
      </c>
      <c r="O385" s="168">
        <f t="shared" ca="1" si="109"/>
        <v>32.626710348814804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IFERROR(__xludf.DUMMYFUNCTION("IMPORTRANGE(""https://docs.google.com/spreadsheets/d/11923uPwbBZFjjGgGUA6NLw09EwE0CqkOc4q9oUmW1yo/edit?usp=sharing"",""สุโขทัย!M281"")"),58800)</f>
        <v>58800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IFERROR(__xludf.DUMMYFUNCTION("IMPORTRANGE(""https://docs.google.com/spreadsheets/d/11923uPwbBZFjjGgGUA6NLw09EwE0CqkOc4q9oUmW1yo/edit?usp=sharing"",""สุโขทัย!M284"")"),8920)</f>
        <v>8920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IFERROR(__xludf.DUMMYFUNCTION("IMPORTRANGE(""https://docs.google.com/spreadsheets/d/11923uPwbBZFjjGgGUA6NLw09EwE0CqkOc4q9oUmW1yo/edit?usp=sharing"",""สุโขทัย!M296"")"),266585)</f>
        <v>266585</v>
      </c>
      <c r="O401" s="372">
        <f ca="1">+IF(L401&gt;0,N401*100/L401,0)</f>
        <v>88.581159661073272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IFERROR(__xludf.DUMMYFUNCTION("IMPORTRANGE(""https://docs.google.com/spreadsheets/d/11923uPwbBZFjjGgGUA6NLw09EwE0CqkOc4q9oUmW1yo/edit?usp=sharing"",""สุโขทัย!M299"")"),266585)</f>
        <v>266585</v>
      </c>
      <c r="O404" s="168">
        <f t="shared" ca="1" si="112"/>
        <v>88.581159661073272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IFERROR(__xludf.DUMMYFUNCTION("IMPORTRANGE(""https://docs.google.com/spreadsheets/d/11923uPwbBZFjjGgGUA6NLw09EwE0CqkOc4q9oUmW1yo/edit?usp=sharing"",""สุโขทัย!M301"")"),266585)</f>
        <v>266585</v>
      </c>
      <c r="O406" s="168">
        <f t="shared" ca="1" si="112"/>
        <v>88.581159661073272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IFERROR(__xludf.DUMMYFUNCTION("IMPORTRANGE(""https://docs.google.com/spreadsheets/d/11923uPwbBZFjjGgGUA6NLw09EwE0CqkOc4q9oUmW1yo/edit?usp=sharing"",""สุโขทัย!M303"")"),52500)</f>
        <v>52500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IFERROR(__xludf.DUMMYFUNCTION("IMPORTRANGE(""https://docs.google.com/spreadsheets/d/11923uPwbBZFjjGgGUA6NLw09EwE0CqkOc4q9oUmW1yo/edit?usp=sharing"",""สุโขทัย!M305"")"),23140)</f>
        <v>23140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IFERROR(__xludf.DUMMYFUNCTION("IMPORTRANGE(""https://docs.google.com/spreadsheets/d/11923uPwbBZFjjGgGUA6NLw09EwE0CqkOc4q9oUmW1yo/edit?usp=sharing"",""สุโขทัย!J325"")"),85)</f>
        <v>85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IFERROR(__xludf.DUMMYFUNCTION("IMPORTRANGE(""https://docs.google.com/spreadsheets/d/11923uPwbBZFjjGgGUA6NLw09EwE0CqkOc4q9oUmW1yo/edit?usp=sharing"",""สุโขทัย!M330"")"),183000)</f>
        <v>183000</v>
      </c>
      <c r="O435" s="411">
        <f t="shared" ref="O435:O439" ca="1" si="114">+IF(L435&gt;0,N435*100/L435,0)</f>
        <v>82.062780269058294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IFERROR(__xludf.DUMMYFUNCTION("IMPORTRANGE(""https://docs.google.com/spreadsheets/d/11923uPwbBZFjjGgGUA6NLw09EwE0CqkOc4q9oUmW1yo/edit?usp=sharing"",""สุโขทัย!M332"")"),183000)</f>
        <v>183000</v>
      </c>
      <c r="O437" s="168">
        <f t="shared" ca="1" si="114"/>
        <v>82.062780269058294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IFERROR(__xludf.DUMMYFUNCTION("IMPORTRANGE(""https://docs.google.com/spreadsheets/d/11923uPwbBZFjjGgGUA6NLw09EwE0CqkOc4q9oUmW1yo/edit?usp=sharing"",""สุโขทัย!M334"")"),183000)</f>
        <v>183000</v>
      </c>
      <c r="O439" s="168">
        <f t="shared" ca="1" si="114"/>
        <v>82.062780269058294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IFERROR(__xludf.DUMMYFUNCTION("IMPORTRANGE(""https://docs.google.com/spreadsheets/d/11923uPwbBZFjjGgGUA6NLw09EwE0CqkOc4q9oUmW1yo/edit?usp=sharing"",""สุโขทัย!M338"")"),15800)</f>
        <v>15800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IFERROR(__xludf.DUMMYFUNCTION("IMPORTRANGE(""https://docs.google.com/spreadsheets/d/11923uPwbBZFjjGgGUA6NLw09EwE0CqkOc4q9oUmW1yo/edit?usp=sharing"",""สุโขทัย!J350"")"),35802)</f>
        <v>35802</v>
      </c>
      <c r="K455" s="371">
        <f ca="1">IF(I455&gt;0,J455*100/I455,0)</f>
        <v>100.00279321806653</v>
      </c>
      <c r="L455" s="372">
        <f ca="1">IFERROR(__xludf.DUMMYFUNCTION("IMPORTRANGE(""https://docs.google.com/spreadsheets/d/11923uPwbBZFjjGgGUA6NLw09EwE0CqkOc4q9oUmW1yo/edit?usp=sharing"",""สุโขทัย!L350"")"),424323)</f>
        <v>424323</v>
      </c>
      <c r="M455" s="372"/>
      <c r="N455" s="372">
        <f ca="1">IFERROR(__xludf.DUMMYFUNCTION("IMPORTRANGE(""https://docs.google.com/spreadsheets/d/11923uPwbBZFjjGgGUA6NLw09EwE0CqkOc4q9oUmW1yo/edit?usp=sharing"",""สุโขทัย!M350"")"),320149.27)</f>
        <v>320149.27</v>
      </c>
      <c r="O455" s="372">
        <f t="shared" ref="O455:O459" ca="1" si="116">+IF(L455&gt;0,N455*100/L455,0)</f>
        <v>75.449426498210087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IFERROR(__xludf.DUMMYFUNCTION("IMPORTRANGE(""https://docs.google.com/spreadsheets/d/11923uPwbBZFjjGgGUA6NLw09EwE0CqkOc4q9oUmW1yo/edit?usp=sharing"",""สุโขทัย!L352"")"),424323)</f>
        <v>424323</v>
      </c>
      <c r="M457" s="165"/>
      <c r="N457" s="168">
        <f ca="1">IFERROR(__xludf.DUMMYFUNCTION("IMPORTRANGE(""https://docs.google.com/spreadsheets/d/11923uPwbBZFjjGgGUA6NLw09EwE0CqkOc4q9oUmW1yo/edit?usp=sharing"",""สุโขทัย!M352"")"),320149.27)</f>
        <v>320149.27</v>
      </c>
      <c r="O457" s="168">
        <f t="shared" ca="1" si="116"/>
        <v>75.449426498210087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IFERROR(__xludf.DUMMYFUNCTION("IMPORTRANGE(""https://docs.google.com/spreadsheets/d/11923uPwbBZFjjGgGUA6NLw09EwE0CqkOc4q9oUmW1yo/edit?usp=sharing"",""สุโขทัย!L354"")"),424323)</f>
        <v>424323</v>
      </c>
      <c r="M459" s="168"/>
      <c r="N459" s="168">
        <f ca="1">IFERROR(__xludf.DUMMYFUNCTION("IMPORTRANGE(""https://docs.google.com/spreadsheets/d/11923uPwbBZFjjGgGUA6NLw09EwE0CqkOc4q9oUmW1yo/edit?usp=sharing"",""สุโขทัย!M354"")"),320149.27)</f>
        <v>320149.27</v>
      </c>
      <c r="O459" s="168">
        <f t="shared" ca="1" si="116"/>
        <v>75.449426498210087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IFERROR(__xludf.DUMMYFUNCTION("IMPORTRANGE(""https://docs.google.com/spreadsheets/d/11923uPwbBZFjjGgGUA6NLw09EwE0CqkOc4q9oUmW1yo/edit?usp=sharing"",""สุโขทัย!M357"")"),86900)</f>
        <v>86900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IFERROR(__xludf.DUMMYFUNCTION("IMPORTRANGE(""https://docs.google.com/spreadsheets/d/11923uPwbBZFjjGgGUA6NLw09EwE0CqkOc4q9oUmW1yo/edit?usp=sharing"",""สุโขทัย!M358"")"),233249.27)</f>
        <v>233249.27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IFERROR(__xludf.DUMMYFUNCTION("IMPORTRANGE(""https://docs.google.com/spreadsheets/d/11923uPwbBZFjjGgGUA6NLw09EwE0CqkOc4q9oUmW1yo/edit?usp=sharing"",""สุโขทัย!J359"")"),35802)</f>
        <v>35802</v>
      </c>
      <c r="K464" s="268">
        <f t="shared" ref="K464:K515" ca="1" si="117">IF(I464&gt;0,J464*100/I464,0)</f>
        <v>100.00279321806653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IFERROR(__xludf.DUMMYFUNCTION("IMPORTRANGE(""https://docs.google.com/spreadsheets/d/11923uPwbBZFjjGgGUA6NLw09EwE0CqkOc4q9oUmW1yo/edit?usp=sharing"",""สุโขทัย!J376"")"),35802)</f>
        <v>35802</v>
      </c>
      <c r="K481" s="201">
        <f t="shared" ca="1" si="117"/>
        <v>100.00279321806653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IFERROR(__xludf.DUMMYFUNCTION("IMPORTRANGE(""https://docs.google.com/spreadsheets/d/11923uPwbBZFjjGgGUA6NLw09EwE0CqkOc4q9oUmW1yo/edit?usp=sharing"",""สุโขทัย!J377"")"),4578)</f>
        <v>4578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IFERROR(__xludf.DUMMYFUNCTION("IMPORTRANGE(""https://docs.google.com/spreadsheets/d/11923uPwbBZFjjGgGUA6NLw09EwE0CqkOc4q9oUmW1yo/edit?usp=sharing"",""สุโขทัย!J382"")"),662)</f>
        <v>662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IFERROR(__xludf.DUMMYFUNCTION("IMPORTRANGE(""https://docs.google.com/spreadsheets/d/11923uPwbBZFjjGgGUA6NLw09EwE0CqkOc4q9oUmW1yo/edit?usp=sharing"",""สุโขทัย!J383"")"),81)</f>
        <v>81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IFERROR(__xludf.DUMMYFUNCTION("IMPORTRANGE(""https://docs.google.com/spreadsheets/d/11923uPwbBZFjjGgGUA6NLw09EwE0CqkOc4q9oUmW1yo/edit?usp=sharing"",""สุโขทัย!J384"")"),662)</f>
        <v>662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IFERROR(__xludf.DUMMYFUNCTION("IMPORTRANGE(""https://docs.google.com/spreadsheets/d/11923uPwbBZFjjGgGUA6NLw09EwE0CqkOc4q9oUmW1yo/edit?usp=sharing"",""สุโขทัย!J385"")"),81)</f>
        <v>81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IFERROR(__xludf.DUMMYFUNCTION("IMPORTRANGE(""https://docs.google.com/spreadsheets/d/11923uPwbBZFjjGgGUA6NLw09EwE0CqkOc4q9oUmW1yo/edit?usp=sharing"",""สุโขทัย!J388"")"),4308)</f>
        <v>4308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IFERROR(__xludf.DUMMYFUNCTION("IMPORTRANGE(""https://docs.google.com/spreadsheets/d/11923uPwbBZFjjGgGUA6NLw09EwE0CqkOc4q9oUmW1yo/edit?usp=sharing"",""สุโขทัย!J389"")"),452)</f>
        <v>452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IFERROR(__xludf.DUMMYFUNCTION("IMPORTRANGE(""https://docs.google.com/spreadsheets/d/11923uPwbBZFjjGgGUA6NLw09EwE0CqkOc4q9oUmW1yo/edit?usp=sharing"",""สุโขทัย!J392"")"),1357)</f>
        <v>1357</v>
      </c>
      <c r="K497" s="444">
        <f t="shared" ca="1" si="117"/>
        <v>73.311723392760669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IFERROR(__xludf.DUMMYFUNCTION("IMPORTRANGE(""https://docs.google.com/spreadsheets/d/11923uPwbBZFjjGgGUA6NLw09EwE0CqkOc4q9oUmW1yo/edit?usp=sharing"",""สุโขทัย!J393"")"),1357)</f>
        <v>1357</v>
      </c>
      <c r="K498" s="163">
        <f t="shared" ca="1" si="117"/>
        <v>73.311723392760669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IFERROR(__xludf.DUMMYFUNCTION("IMPORTRANGE(""https://docs.google.com/spreadsheets/d/11923uPwbBZFjjGgGUA6NLw09EwE0CqkOc4q9oUmW1yo/edit?usp=sharing"",""สุโขทัย!J394"")"),102)</f>
        <v>102</v>
      </c>
      <c r="K499" s="201">
        <f t="shared" ca="1" si="117"/>
        <v>73.913043478260875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IFERROR(__xludf.DUMMYFUNCTION("IMPORTRANGE(""https://docs.google.com/spreadsheets/d/11923uPwbBZFjjGgGUA6NLw09EwE0CqkOc4q9oUmW1yo/edit?usp=sharing"",""สุโขทัย!J395"")"),1219)</f>
        <v>1219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IFERROR(__xludf.DUMMYFUNCTION("IMPORTRANGE(""https://docs.google.com/spreadsheets/d/11923uPwbBZFjjGgGUA6NLw09EwE0CqkOc4q9oUmW1yo/edit?usp=sharing"",""สุโขทัย!J396"")"),93)</f>
        <v>93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IFERROR(__xludf.DUMMYFUNCTION("IMPORTRANGE(""https://docs.google.com/spreadsheets/d/11923uPwbBZFjjGgGUA6NLw09EwE0CqkOc4q9oUmW1yo/edit?usp=sharing"",""สุโขทัย!J397"")"),1167)</f>
        <v>1167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IFERROR(__xludf.DUMMYFUNCTION("IMPORTRANGE(""https://docs.google.com/spreadsheets/d/11923uPwbBZFjjGgGUA6NLw09EwE0CqkOc4q9oUmW1yo/edit?usp=sharing"",""สุโขทัย!J398"")"),87)</f>
        <v>87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IFERROR(__xludf.DUMMYFUNCTION("IMPORTRANGE(""https://docs.google.com/spreadsheets/d/11923uPwbBZFjjGgGUA6NLw09EwE0CqkOc4q9oUmW1yo/edit?usp=sharing"",""สุโขทัย!J399"")"),52)</f>
        <v>52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IFERROR(__xludf.DUMMYFUNCTION("IMPORTRANGE(""https://docs.google.com/spreadsheets/d/11923uPwbBZFjjGgGUA6NLw09EwE0CqkOc4q9oUmW1yo/edit?usp=sharing"",""สุโขทัย!J400"")"),6)</f>
        <v>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IFERROR(__xludf.DUMMYFUNCTION("IMPORTRANGE(""https://docs.google.com/spreadsheets/d/11923uPwbBZFjjGgGUA6NLw09EwE0CqkOc4q9oUmW1yo/edit?usp=sharing"",""สุโขทัย!M428"")"),18740)</f>
        <v>18740</v>
      </c>
      <c r="O533" s="411">
        <f t="shared" ref="O533:O537" ca="1" si="118">+IF(L533&gt;0,N533*100/L533,0)</f>
        <v>54.571927781013393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IFERROR(__xludf.DUMMYFUNCTION("IMPORTRANGE(""https://docs.google.com/spreadsheets/d/11923uPwbBZFjjGgGUA6NLw09EwE0CqkOc4q9oUmW1yo/edit?usp=sharing"",""สุโขทัย!J459"")"),6916)</f>
        <v>6916</v>
      </c>
      <c r="K564" s="371">
        <f ca="1">IF(I564&gt;0,J564*100/I564,0)</f>
        <v>329.33333333333331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IFERROR(__xludf.DUMMYFUNCTION("IMPORTRANGE(""https://docs.google.com/spreadsheets/d/11923uPwbBZFjjGgGUA6NLw09EwE0CqkOc4q9oUmW1yo/edit?usp=sharing"",""สุโขทัย!M459"")"),94975.48)</f>
        <v>94975.48</v>
      </c>
      <c r="O564" s="372">
        <f t="shared" ref="O564:O568" ca="1" si="122">+IF(L564&gt;0,N564*100/L564,0)</f>
        <v>66.7712879640045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IFERROR(__xludf.DUMMYFUNCTION("IMPORTRANGE(""https://docs.google.com/spreadsheets/d/11923uPwbBZFjjGgGUA6NLw09EwE0CqkOc4q9oUmW1yo/edit?usp=sharing"",""สุโขทัย!M461"")"),94975.48)</f>
        <v>94975.48</v>
      </c>
      <c r="O566" s="168">
        <f t="shared" ca="1" si="122"/>
        <v>66.7712879640045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IFERROR(__xludf.DUMMYFUNCTION("IMPORTRANGE(""https://docs.google.com/spreadsheets/d/11923uPwbBZFjjGgGUA6NLw09EwE0CqkOc4q9oUmW1yo/edit?usp=sharing"",""สุโขทัย!M463"")"),94975.48)</f>
        <v>94975.48</v>
      </c>
      <c r="O568" s="168">
        <f t="shared" ca="1" si="122"/>
        <v>66.7712879640045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IFERROR(__xludf.DUMMYFUNCTION("IMPORTRANGE(""https://docs.google.com/spreadsheets/d/11923uPwbBZFjjGgGUA6NLw09EwE0CqkOc4q9oUmW1yo/edit?usp=sharing"",""สุโขทัย!M466"")"),64935.48)</f>
        <v>64935.48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IFERROR(__xludf.DUMMYFUNCTION("IMPORTRANGE(""https://docs.google.com/spreadsheets/d/11923uPwbBZFjjGgGUA6NLw09EwE0CqkOc4q9oUmW1yo/edit?usp=sharing"",""สุโขทัย!M467"")"),30040)</f>
        <v>30040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IFERROR(__xludf.DUMMYFUNCTION("IMPORTRANGE(""https://docs.google.com/spreadsheets/d/11923uPwbBZFjjGgGUA6NLw09EwE0CqkOc4q9oUmW1yo/edit?usp=sharing"",""สุโขทัย!J468"")"),6916)</f>
        <v>6916</v>
      </c>
      <c r="K573" s="201">
        <f ca="1">IF(I573&gt;0,J573*100/I573,0)</f>
        <v>329.33333333333331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IFERROR(__xludf.DUMMYFUNCTION("IMPORTRANGE(""https://docs.google.com/spreadsheets/d/11923uPwbBZFjjGgGUA6NLw09EwE0CqkOc4q9oUmW1yo/edit?usp=sharing"",""สุโขทัย!J472"")"),6480)</f>
        <v>6480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IFERROR(__xludf.DUMMYFUNCTION("IMPORTRANGE(""https://docs.google.com/spreadsheets/d/11923uPwbBZFjjGgGUA6NLw09EwE0CqkOc4q9oUmW1yo/edit?usp=sharing"",""สุโขทัย!J475"")"),1)</f>
        <v>1</v>
      </c>
      <c r="K580" s="371">
        <f ca="1">IF(I580&gt;0,J580*100/I580,0)</f>
        <v>1.1111111111111112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IFERROR(__xludf.DUMMYFUNCTION("IMPORTRANGE(""https://docs.google.com/spreadsheets/d/11923uPwbBZFjjGgGUA6NLw09EwE0CqkOc4q9oUmW1yo/edit?usp=sharing"",""สุโขทัย!M475"")"),41590.45)</f>
        <v>41590.449999999997</v>
      </c>
      <c r="O580" s="372">
        <f t="shared" ref="O580:O584" ca="1" si="124">+IF(L580&gt;0,N580*100/L580,0)</f>
        <v>14.041814375907355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IFERROR(__xludf.DUMMYFUNCTION("IMPORTRANGE(""https://docs.google.com/spreadsheets/d/11923uPwbBZFjjGgGUA6NLw09EwE0CqkOc4q9oUmW1yo/edit?usp=sharing"",""สุโขทัย!M477"")"),41590.45)</f>
        <v>41590.449999999997</v>
      </c>
      <c r="O582" s="168">
        <f t="shared" ca="1" si="124"/>
        <v>14.041814375907355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IFERROR(__xludf.DUMMYFUNCTION("IMPORTRANGE(""https://docs.google.com/spreadsheets/d/11923uPwbBZFjjGgGUA6NLw09EwE0CqkOc4q9oUmW1yo/edit?usp=sharing"",""สุโขทัย!M479"")"),41590.45)</f>
        <v>41590.449999999997</v>
      </c>
      <c r="O584" s="168">
        <f t="shared" ca="1" si="124"/>
        <v>14.041814375907355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IFERROR(__xludf.DUMMYFUNCTION("IMPORTRANGE(""https://docs.google.com/spreadsheets/d/11923uPwbBZFjjGgGUA6NLw09EwE0CqkOc4q9oUmW1yo/edit?usp=sharing"",""สุโขทัย!M483"")"),41590.45)</f>
        <v>41590.449999999997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IFERROR(__xludf.DUMMYFUNCTION("IMPORTRANGE(""https://docs.google.com/spreadsheets/d/11923uPwbBZFjjGgGUA6NLw09EwE0CqkOc4q9oUmW1yo/edit?usp=sharing"",""สุโขทัย!J484"")"),95)</f>
        <v>95</v>
      </c>
      <c r="K589" s="163">
        <f t="shared" ref="K589:K596" ca="1" si="125">IF(I589&gt;0,J589*100/I589,0)</f>
        <v>105.55555555555556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IFERROR(__xludf.DUMMYFUNCTION("IMPORTRANGE(""https://docs.google.com/spreadsheets/d/11923uPwbBZFjjGgGUA6NLw09EwE0CqkOc4q9oUmW1yo/edit?usp=sharing"",""สุโขทัย!J485"")"),99.89)</f>
        <v>99.89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IFERROR(__xludf.DUMMYFUNCTION("IMPORTRANGE(""https://docs.google.com/spreadsheets/d/11923uPwbBZFjjGgGUA6NLw09EwE0CqkOc4q9oUmW1yo/edit?usp=sharing"",""สุโขทัย!J486"")"),78)</f>
        <v>78</v>
      </c>
      <c r="K591" s="163">
        <f t="shared" ca="1" si="125"/>
        <v>86.666666666666671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IFERROR(__xludf.DUMMYFUNCTION("IMPORTRANGE(""https://docs.google.com/spreadsheets/d/11923uPwbBZFjjGgGUA6NLw09EwE0CqkOc4q9oUmW1yo/edit?usp=sharing"",""สุโขทัย!J487"")"),84.46)</f>
        <v>84.46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IFERROR(__xludf.DUMMYFUNCTION("IMPORTRANGE(""https://docs.google.com/spreadsheets/d/11923uPwbBZFjjGgGUA6NLw09EwE0CqkOc4q9oUmW1yo/edit?usp=sharing"",""สุโขทัย!J488"")"),38)</f>
        <v>38</v>
      </c>
      <c r="K593" s="163">
        <f t="shared" ca="1" si="125"/>
        <v>42.222222222222221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IFERROR(__xludf.DUMMYFUNCTION("IMPORTRANGE(""https://docs.google.com/spreadsheets/d/11923uPwbBZFjjGgGUA6NLw09EwE0CqkOc4q9oUmW1yo/edit?usp=sharing"",""สุโขทัย!J489"")"),40.01)</f>
        <v>40.01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IFERROR(__xludf.DUMMYFUNCTION("IMPORTRANGE(""https://docs.google.com/spreadsheets/d/11923uPwbBZFjjGgGUA6NLw09EwE0CqkOc4q9oUmW1yo/edit?usp=sharing"",""สุโขทัย!J490"")"),1)</f>
        <v>1</v>
      </c>
      <c r="K595" s="163">
        <f t="shared" ca="1" si="125"/>
        <v>1.1111111111111112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IFERROR(__xludf.DUMMYFUNCTION("IMPORTRANGE(""https://docs.google.com/spreadsheets/d/11923uPwbBZFjjGgGUA6NLw09EwE0CqkOc4q9oUmW1yo/edit?usp=sharing"",""สุโขทัย!J491"")"),0.84)</f>
        <v>0.84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8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IFERROR(__xludf.DUMMYFUNCTION("IMPORTRANGE(""https://docs.google.com/spreadsheets/d/11923uPwbBZFjjGgGUA6NLw09EwE0CqkOc4q9oUmW1yo/edit?usp=sharing"",""สุโขทัย!L492"")"),7300)</f>
        <v>7300</v>
      </c>
      <c r="M597" s="411"/>
      <c r="N597" s="411">
        <f ca="1">IFERROR(__xludf.DUMMYFUNCTION("IMPORTRANGE(""https://docs.google.com/spreadsheets/d/11923uPwbBZFjjGgGUA6NLw09EwE0CqkOc4q9oUmW1yo/edit?usp=sharing"",""สุโขทัย!M492"")"),1840)</f>
        <v>1840</v>
      </c>
      <c r="O597" s="411">
        <f t="shared" ref="O597:O601" ca="1" si="126">+IF(L597&gt;0,N597*100/L597,0)</f>
        <v>25.205479452054796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IFERROR(__xludf.DUMMYFUNCTION("IMPORTRANGE(""https://docs.google.com/spreadsheets/d/11923uPwbBZFjjGgGUA6NLw09EwE0CqkOc4q9oUmW1yo/edit?usp=sharing"",""สุโขทัย!M494"")"),1840)</f>
        <v>1840</v>
      </c>
      <c r="O599" s="168">
        <f t="shared" ca="1" si="126"/>
        <v>25.205479452054796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IFERROR(__xludf.DUMMYFUNCTION("IMPORTRANGE(""https://docs.google.com/spreadsheets/d/11923uPwbBZFjjGgGUA6NLw09EwE0CqkOc4q9oUmW1yo/edit?usp=sharing"",""สุโขทัย!M496"")"),1840)</f>
        <v>1840</v>
      </c>
      <c r="O601" s="168">
        <f t="shared" ca="1" si="126"/>
        <v>25.205479452054796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IFERROR(__xludf.DUMMYFUNCTION("IMPORTRANGE(""https://docs.google.com/spreadsheets/d/11923uPwbBZFjjGgGUA6NLw09EwE0CqkOc4q9oUmW1yo/edit?usp=sharing"",""สุโขทัย!M500"")"),1840)</f>
        <v>1840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IFERROR(__xludf.DUMMYFUNCTION("IMPORTRANGE(""https://docs.google.com/spreadsheets/d/11923uPwbBZFjjGgGUA6NLw09EwE0CqkOc4q9oUmW1yo/edit?usp=sharing"",""สุโขทัย!J508"")"),347)</f>
        <v>347</v>
      </c>
      <c r="K613" s="163">
        <f t="shared" ca="1" si="127"/>
        <v>347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IFERROR(__xludf.DUMMYFUNCTION("IMPORTRANGE(""https://docs.google.com/spreadsheets/d/11923uPwbBZFjjGgGUA6NLw09EwE0CqkOc4q9oUmW1yo/edit?usp=sharing"",""สุโขทัย!J509"")"),347)</f>
        <v>347</v>
      </c>
      <c r="K614" s="163">
        <f t="shared" ca="1" si="127"/>
        <v>347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IFERROR(__xludf.DUMMYFUNCTION("IMPORTRANGE(""https://docs.google.com/spreadsheets/d/11923uPwbBZFjjGgGUA6NLw09EwE0CqkOc4q9oUmW1yo/edit?usp=sharing"",""สุโขทัย!J511"")"),347)</f>
        <v>347</v>
      </c>
      <c r="K616" s="163">
        <f t="shared" ca="1" si="127"/>
        <v>347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IFERROR(__xludf.DUMMYFUNCTION("IMPORTRANGE(""https://docs.google.com/spreadsheets/d/11923uPwbBZFjjGgGUA6NLw09EwE0CqkOc4q9oUmW1yo/edit?usp=sharing"",""สุโขทัย!J523"")"),4466813.6)</f>
        <v>4466813.5999999996</v>
      </c>
      <c r="K628" s="342">
        <f t="shared" ref="K628:K635" ca="1" si="129">IF(I628&gt;0,J628*100/I628,0)</f>
        <v>72.901013729020221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IFERROR(__xludf.DUMMYFUNCTION("IMPORTRANGE(""https://docs.google.com/spreadsheets/d/11923uPwbBZFjjGgGUA6NLw09EwE0CqkOc4q9oUmW1yo/edit?usp=sharing"",""สุโขทัย!J524"")"),334)</f>
        <v>334</v>
      </c>
      <c r="K629" s="342">
        <f t="shared" ca="1" si="129"/>
        <v>78.403755868544607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IFERROR(__xludf.DUMMYFUNCTION("IMPORTRANGE(""https://docs.google.com/spreadsheets/d/11923uPwbBZFjjGgGUA6NLw09EwE0CqkOc4q9oUmW1yo/edit?usp=sharing"",""สุโขทัย!J525"")"),1595419.21)</f>
        <v>1595419.21</v>
      </c>
      <c r="K630" s="342">
        <f t="shared" ca="1" si="129"/>
        <v>22.765387447945493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IFERROR(__xludf.DUMMYFUNCTION("IMPORTRANGE(""https://docs.google.com/spreadsheets/d/11923uPwbBZFjjGgGUA6NLw09EwE0CqkOc4q9oUmW1yo/edit?usp=sharing"",""สุโขทัย!J526"")"),226)</f>
        <v>226</v>
      </c>
      <c r="K631" s="342">
        <f t="shared" ca="1" si="129"/>
        <v>88.28125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IFERROR(__xludf.DUMMYFUNCTION("IMPORTRANGE(""https://docs.google.com/spreadsheets/d/11923uPwbBZFjjGgGUA6NLw09EwE0CqkOc4q9oUmW1yo/edit?usp=sharing"",""สุโขทัย!J527"")"),791340.84)</f>
        <v>791340.84</v>
      </c>
      <c r="K632" s="342">
        <f t="shared" ca="1" si="129"/>
        <v>29.70487241710029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IFERROR(__xludf.DUMMYFUNCTION("IMPORTRANGE(""https://docs.google.com/spreadsheets/d/11923uPwbBZFjjGgGUA6NLw09EwE0CqkOc4q9oUmW1yo/edit?usp=sharing"",""สุโขทัย!J528"")"),124)</f>
        <v>124</v>
      </c>
      <c r="K633" s="342">
        <f t="shared" ca="1" si="129"/>
        <v>68.888888888888886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IFERROR(__xludf.DUMMYFUNCTION("IMPORTRANGE(""https://docs.google.com/spreadsheets/d/11923uPwbBZFjjGgGUA6NLw09EwE0CqkOc4q9oUmW1yo/edit?usp=sharing"",""สุโขทัย!I530"")"),114)</f>
        <v>114</v>
      </c>
      <c r="J635" s="505">
        <f ca="1">IFERROR(__xludf.DUMMYFUNCTION("IMPORTRANGE(""https://docs.google.com/spreadsheets/d/11923uPwbBZFjjGgGUA6NLw09EwE0CqkOc4q9oUmW1yo/edit?usp=sharing"",""สุโขทัย!J530"")"),105)</f>
        <v>105</v>
      </c>
      <c r="K635" s="487">
        <f t="shared" ca="1" si="129"/>
        <v>92.10526315789474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27095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27095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27095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IFERROR(__xludf.DUMMYFUNCTION("IMPORTRANGE(""https://docs.google.com/spreadsheets/d/11923uPwbBZFjjGgGUA6NLw09EwE0CqkOc4q9oUmW1yo/edit?usp=sharing"",""สุโขทัย!J541"")"),0)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IFERROR(__xludf.DUMMYFUNCTION("IMPORTRANGE(""https://docs.google.com/spreadsheets/d/11923uPwbBZFjjGgGUA6NLw09EwE0CqkOc4q9oUmW1yo/edit?usp=sharing"",""สุโขทัย!J542"")"),0)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IFERROR(__xludf.DUMMYFUNCTION("IMPORTRANGE(""https://docs.google.com/spreadsheets/d/11923uPwbBZFjjGgGUA6NLw09EwE0CqkOc4q9oUmW1yo/edit?usp=sharing"",""สุโขทัย!I543"")"),0)</f>
        <v>0</v>
      </c>
      <c r="J648" s="536">
        <f ca="1">IFERROR(__xludf.DUMMYFUNCTION("IMPORTRANGE(""https://docs.google.com/spreadsheets/d/11923uPwbBZFjjGgGUA6NLw09EwE0CqkOc4q9oUmW1yo/edit?usp=sharing"",""สุโขทัย!J543"")"),0)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IFERROR(__xludf.DUMMYFUNCTION("IMPORTRANGE(""https://docs.google.com/spreadsheets/d/11923uPwbBZFjjGgGUA6NLw09EwE0CqkOc4q9oUmW1yo/edit?usp=sharing"",""สุโขทัย!L543"")"),0)</f>
        <v>0</v>
      </c>
      <c r="M648" s="521"/>
      <c r="N648" s="538">
        <f ca="1">IFERROR(__xludf.DUMMYFUNCTION("IMPORTRANGE(""https://docs.google.com/spreadsheets/d/11923uPwbBZFjjGgGUA6NLw09EwE0CqkOc4q9oUmW1yo/edit?usp=sharing"",""สุโขทัย!M543"")"),0)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IFERROR(__xludf.DUMMYFUNCTION("IMPORTRANGE(""https://docs.google.com/spreadsheets/d/11923uPwbBZFjjGgGUA6NLw09EwE0CqkOc4q9oUmW1yo/edit?usp=sharing"",""สุโขทัย!I544"")"),0)</f>
        <v>0</v>
      </c>
      <c r="J649" s="536">
        <f ca="1">IFERROR(__xludf.DUMMYFUNCTION("IMPORTRANGE(""https://docs.google.com/spreadsheets/d/11923uPwbBZFjjGgGUA6NLw09EwE0CqkOc4q9oUmW1yo/edit?usp=sharing"",""สุโขทัย!J544"")"),0)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IFERROR(__xludf.DUMMYFUNCTION("IMPORTRANGE(""https://docs.google.com/spreadsheets/d/11923uPwbBZFjjGgGUA6NLw09EwE0CqkOc4q9oUmW1yo/edit?usp=sharing"",""สุโขทัย!L544"")"),0)</f>
        <v>0</v>
      </c>
      <c r="M649" s="521"/>
      <c r="N649" s="538">
        <f ca="1">IFERROR(__xludf.DUMMYFUNCTION("IMPORTRANGE(""https://docs.google.com/spreadsheets/d/11923uPwbBZFjjGgGUA6NLw09EwE0CqkOc4q9oUmW1yo/edit?usp=sharing"",""สุโขทัย!M544"")"),0)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IFERROR(__xludf.DUMMYFUNCTION("IMPORTRANGE(""https://docs.google.com/spreadsheets/d/11923uPwbBZFjjGgGUA6NLw09EwE0CqkOc4q9oUmW1yo/edit?usp=sharing"",""สุโขทัย!I545"")"),0)</f>
        <v>0</v>
      </c>
      <c r="J650" s="536">
        <f ca="1">IFERROR(__xludf.DUMMYFUNCTION("IMPORTRANGE(""https://docs.google.com/spreadsheets/d/11923uPwbBZFjjGgGUA6NLw09EwE0CqkOc4q9oUmW1yo/edit?usp=sharing"",""สุโขทัย!J545"")"),0)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IFERROR(__xludf.DUMMYFUNCTION("IMPORTRANGE(""https://docs.google.com/spreadsheets/d/11923uPwbBZFjjGgGUA6NLw09EwE0CqkOc4q9oUmW1yo/edit?usp=sharing"",""สุโขทัย!L545"")"),0)</f>
        <v>0</v>
      </c>
      <c r="M650" s="521"/>
      <c r="N650" s="538">
        <f ca="1">IFERROR(__xludf.DUMMYFUNCTION("IMPORTRANGE(""https://docs.google.com/spreadsheets/d/11923uPwbBZFjjGgGUA6NLw09EwE0CqkOc4q9oUmW1yo/edit?usp=sharing"",""สุโขทัย!M545"")"),0)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IFERROR(__xludf.DUMMYFUNCTION("IMPORTRANGE(""https://docs.google.com/spreadsheets/d/11923uPwbBZFjjGgGUA6NLw09EwE0CqkOc4q9oUmW1yo/edit?usp=sharing"",""สุโขทัย!I546"")"),719)</f>
        <v>719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IFERROR(__xludf.DUMMYFUNCTION("IMPORTRANGE(""https://docs.google.com/spreadsheets/d/11923uPwbBZFjjGgGUA6NLw09EwE0CqkOc4q9oUmW1yo/edit?usp=sharing"",""สุโขทัย!L546"")"),17975)</f>
        <v>17975</v>
      </c>
      <c r="M651" s="521"/>
      <c r="N651" s="538">
        <f ca="1">IFERROR(__xludf.DUMMYFUNCTION("IMPORTRANGE(""https://docs.google.com/spreadsheets/d/11923uPwbBZFjjGgGUA6NLw09EwE0CqkOc4q9oUmW1yo/edit?usp=sharing"",""สุโขทัย!M546"")"),0)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IFERROR(__xludf.DUMMYFUNCTION("IMPORTRANGE(""https://docs.google.com/spreadsheets/d/11923uPwbBZFjjGgGUA6NLw09EwE0CqkOc4q9oUmW1yo/edit?usp=sharing"",""สุโขทัย!J547"")"),0)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IFERROR(__xludf.DUMMYFUNCTION("IMPORTRANGE(""https://docs.google.com/spreadsheets/d/11923uPwbBZFjjGgGUA6NLw09EwE0CqkOc4q9oUmW1yo/edit?usp=sharing"",""สุโขทัย!J548"")"),0)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IFERROR(__xludf.DUMMYFUNCTION("IMPORTRANGE(""https://docs.google.com/spreadsheets/d/11923uPwbBZFjjGgGUA6NLw09EwE0CqkOc4q9oUmW1yo/edit?usp=sharing"",""สุโขทัย!J550"")"),0)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IFERROR(__xludf.DUMMYFUNCTION("IMPORTRANGE(""https://docs.google.com/spreadsheets/d/11923uPwbBZFjjGgGUA6NLw09EwE0CqkOc4q9oUmW1yo/edit?usp=sharing"",""สุโขทัย!J551"")"),0)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IFERROR(__xludf.DUMMYFUNCTION("IMPORTRANGE(""https://docs.google.com/spreadsheets/d/11923uPwbBZFjjGgGUA6NLw09EwE0CqkOc4q9oUmW1yo/edit?usp=sharing"",""สุโขทัย!J552"")"),0)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IFERROR(__xludf.DUMMYFUNCTION("IMPORTRANGE(""https://docs.google.com/spreadsheets/d/11923uPwbBZFjjGgGUA6NLw09EwE0CqkOc4q9oUmW1yo/edit?usp=sharing"",""สุโขทัย!J553"")"),0)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IFERROR(__xludf.DUMMYFUNCTION("IMPORTRANGE(""https://docs.google.com/spreadsheets/d/11923uPwbBZFjjGgGUA6NLw09EwE0CqkOc4q9oUmW1yo/edit?usp=sharing"",""สุโขทัย!J554"")"),0)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IFERROR(__xludf.DUMMYFUNCTION("IMPORTRANGE(""https://docs.google.com/spreadsheets/d/11923uPwbBZFjjGgGUA6NLw09EwE0CqkOc4q9oUmW1yo/edit?usp=sharing"",""สุโขทัย!J555"")"),0)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IFERROR(__xludf.DUMMYFUNCTION("IMPORTRANGE(""https://docs.google.com/spreadsheets/d/11923uPwbBZFjjGgGUA6NLw09EwE0CqkOc4q9oUmW1yo/edit?usp=sharing"",""สุโขทัย!J556"")"),0)</f>
        <v>0</v>
      </c>
      <c r="K661" s="537"/>
      <c r="L661" s="522">
        <f ca="1">IFERROR(__xludf.DUMMYFUNCTION("IMPORTRANGE(""https://docs.google.com/spreadsheets/d/11923uPwbBZFjjGgGUA6NLw09EwE0CqkOc4q9oUmW1yo/edit?usp=sharing"",""สุโขทัย!L556"")"),9120)</f>
        <v>9120</v>
      </c>
      <c r="M661" s="521"/>
      <c r="N661" s="538">
        <f ca="1">IFERROR(__xludf.DUMMYFUNCTION("IMPORTRANGE(""https://docs.google.com/spreadsheets/d/11923uPwbBZFjjGgGUA6NLw09EwE0CqkOc4q9oUmW1yo/edit?usp=sharing"",""สุโขทัย!M556"")"),0)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IFERROR(__xludf.DUMMYFUNCTION("IMPORTRANGE(""https://docs.google.com/spreadsheets/d/11923uPwbBZFjjGgGUA6NLw09EwE0CqkOc4q9oUmW1yo/edit?usp=sharing"",""สุโขทัย!J557"")"),0)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IFERROR(__xludf.DUMMYFUNCTION("IMPORTRANGE(""https://docs.google.com/spreadsheets/d/11923uPwbBZFjjGgGUA6NLw09EwE0CqkOc4q9oUmW1yo/edit?usp=sharing"",""สุโขทัย!I558"")"),228)</f>
        <v>228</v>
      </c>
      <c r="J663" s="536">
        <f ca="1">IFERROR(__xludf.DUMMYFUNCTION("IMPORTRANGE(""https://docs.google.com/spreadsheets/d/11923uPwbBZFjjGgGUA6NLw09EwE0CqkOc4q9oUmW1yo/edit?usp=sharing"",""สุโขทัย!J558"")"),0)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IFERROR(__xludf.DUMMYFUNCTION("IMPORTRANGE(""https://docs.google.com/spreadsheets/d/11923uPwbBZFjjGgGUA6NLw09EwE0CqkOc4q9oUmW1yo/edit?usp=sharing"",""สุโขทัย!I560"")"),0)</f>
        <v>0</v>
      </c>
      <c r="J665" s="536">
        <f ca="1">IFERROR(__xludf.DUMMYFUNCTION("IMPORTRANGE(""https://docs.google.com/spreadsheets/d/11923uPwbBZFjjGgGUA6NLw09EwE0CqkOc4q9oUmW1yo/edit?usp=sharing"",""สุโขทัย!J560"")"),0)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IFERROR(__xludf.DUMMYFUNCTION("IMPORTRANGE(""https://docs.google.com/spreadsheets/d/11923uPwbBZFjjGgGUA6NLw09EwE0CqkOc4q9oUmW1yo/edit?usp=sharing"",""สุโขทัย!L560"")"),0)</f>
        <v>0</v>
      </c>
      <c r="M665" s="521"/>
      <c r="N665" s="538">
        <f ca="1">IFERROR(__xludf.DUMMYFUNCTION("IMPORTRANGE(""https://docs.google.com/spreadsheets/d/11923uPwbBZFjjGgGUA6NLw09EwE0CqkOc4q9oUmW1yo/edit?usp=sharing"",""สุโขทัย!M560"")"),0)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IFERROR(__xludf.DUMMYFUNCTION("IMPORTRANGE(""https://docs.google.com/spreadsheets/d/11923uPwbBZFjjGgGUA6NLw09EwE0CqkOc4q9oUmW1yo/edit?usp=sharing"",""สุโขทัย!J561"")"),0)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IFERROR(__xludf.DUMMYFUNCTION("IMPORTRANGE(""https://docs.google.com/spreadsheets/d/11923uPwbBZFjjGgGUA6NLw09EwE0CqkOc4q9oUmW1yo/edit?usp=sharing"",""สุโขทัย!J562"")"),0)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IFERROR(__xludf.DUMMYFUNCTION("IMPORTRANGE(""https://docs.google.com/spreadsheets/d/11923uPwbBZFjjGgGUA6NLw09EwE0CqkOc4q9oUmW1yo/edit?usp=sharing"",""สุโขทัย!I563"")"),0)</f>
        <v>0</v>
      </c>
      <c r="J668" s="536">
        <f ca="1">IFERROR(__xludf.DUMMYFUNCTION("IMPORTRANGE(""https://docs.google.com/spreadsheets/d/11923uPwbBZFjjGgGUA6NLw09EwE0CqkOc4q9oUmW1yo/edit?usp=sharing"",""สุโขทัย!J563"")"),0)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IFERROR(__xludf.DUMMYFUNCTION("IMPORTRANGE(""https://docs.google.com/spreadsheets/d/11923uPwbBZFjjGgGUA6NLw09EwE0CqkOc4q9oUmW1yo/edit?usp=sharing"",""สุโขทัย!L563"")"),0)</f>
        <v>0</v>
      </c>
      <c r="M668" s="521"/>
      <c r="N668" s="538">
        <f ca="1">IFERROR(__xludf.DUMMYFUNCTION("IMPORTRANGE(""https://docs.google.com/spreadsheets/d/11923uPwbBZFjjGgGUA6NLw09EwE0CqkOc4q9oUmW1yo/edit?usp=sharing"",""สุโขทัย!M563"")"),0)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IFERROR(__xludf.DUMMYFUNCTION("IMPORTRANGE(""https://docs.google.com/spreadsheets/d/11923uPwbBZFjjGgGUA6NLw09EwE0CqkOc4q9oUmW1yo/edit?usp=sharing"",""สุโขทัย!J564"")"),0)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IFERROR(__xludf.DUMMYFUNCTION("IMPORTRANGE(""https://docs.google.com/spreadsheets/d/11923uPwbBZFjjGgGUA6NLw09EwE0CqkOc4q9oUmW1yo/edit?usp=sharing"",""สุโขทัย!J565"")"),0)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IFERROR(__xludf.DUMMYFUNCTION("IMPORTRANGE(""https://docs.google.com/spreadsheets/d/11923uPwbBZFjjGgGUA6NLw09EwE0CqkOc4q9oUmW1yo/edit?usp=sharing"",""สุโขทัย!I566"")"),0)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IFERROR(__xludf.DUMMYFUNCTION("IMPORTRANGE(""https://docs.google.com/spreadsheets/d/11923uPwbBZFjjGgGUA6NLw09EwE0CqkOc4q9oUmW1yo/edit?usp=sharing"",""สุโขทัย!L566"")"),0)</f>
        <v>0</v>
      </c>
      <c r="M671" s="521"/>
      <c r="N671" s="538">
        <f ca="1">IFERROR(__xludf.DUMMYFUNCTION("IMPORTRANGE(""https://docs.google.com/spreadsheets/d/11923uPwbBZFjjGgGUA6NLw09EwE0CqkOc4q9oUmW1yo/edit?usp=sharing"",""สุโขทัย!M566"")"),0)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IFERROR(__xludf.DUMMYFUNCTION("IMPORTRANGE(""https://docs.google.com/spreadsheets/d/11923uPwbBZFjjGgGUA6NLw09EwE0CqkOc4q9oUmW1yo/edit?usp=sharing"",""สุโขทัย!J567"")"),0)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IFERROR(__xludf.DUMMYFUNCTION("IMPORTRANGE(""https://docs.google.com/spreadsheets/d/11923uPwbBZFjjGgGUA6NLw09EwE0CqkOc4q9oUmW1yo/edit?usp=sharing"",""สุโขทัย!J568"")"),0)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IFERROR(__xludf.DUMMYFUNCTION("IMPORTRANGE(""https://docs.google.com/spreadsheets/d/11923uPwbBZFjjGgGUA6NLw09EwE0CqkOc4q9oUmW1yo/edit?usp=sharing"",""สุโขทัย!J569"")"),0)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IFERROR(__xludf.DUMMYFUNCTION("IMPORTRANGE(""https://docs.google.com/spreadsheets/d/11923uPwbBZFjjGgGUA6NLw09EwE0CqkOc4q9oUmW1yo/edit?usp=sharing"",""สุโขทัย!J570"")"),0)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IFERROR(__xludf.DUMMYFUNCTION("IMPORTRANGE(""https://docs.google.com/spreadsheets/d/11923uPwbBZFjjGgGUA6NLw09EwE0CqkOc4q9oUmW1yo/edit?usp=sharing"",""สุโขทัย!J571"")"),0)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IFERROR(__xludf.DUMMYFUNCTION("IMPORTRANGE(""https://docs.google.com/spreadsheets/d/11923uPwbBZFjjGgGUA6NLw09EwE0CqkOc4q9oUmW1yo/edit?usp=sharing"",""สุโขทัย!J572"")"),0)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290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5808692</v>
      </c>
      <c r="M8" s="23">
        <f t="shared" ca="1" si="0"/>
        <v>3674533</v>
      </c>
      <c r="N8" s="23">
        <f t="shared" ca="1" si="0"/>
        <v>4376987.29</v>
      </c>
      <c r="O8" s="22">
        <f t="shared" ref="O8:O16" ca="1" si="1">IF(L8&gt;0,N8*100/L8,0)</f>
        <v>75.352373477540212</v>
      </c>
      <c r="P8" s="22">
        <f t="shared" ref="P8:P16" ca="1" si="2">IF(M8&gt;0,N8*100/M8,0)</f>
        <v>119.11683171711888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5808692</v>
      </c>
      <c r="M10" s="30">
        <f t="shared" ca="1" si="4"/>
        <v>3674533</v>
      </c>
      <c r="N10" s="30">
        <f t="shared" ca="1" si="4"/>
        <v>4376987.29</v>
      </c>
      <c r="O10" s="29">
        <f t="shared" ca="1" si="1"/>
        <v>75.352373477540212</v>
      </c>
      <c r="P10" s="29">
        <f t="shared" ca="1" si="2"/>
        <v>119.11683171711888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4836292</v>
      </c>
      <c r="M12" s="39">
        <f t="shared" ca="1" si="6"/>
        <v>2702133</v>
      </c>
      <c r="N12" s="39">
        <f t="shared" ca="1" si="6"/>
        <v>3531557.5900000003</v>
      </c>
      <c r="O12" s="39">
        <f t="shared" ca="1" si="1"/>
        <v>73.022009216978645</v>
      </c>
      <c r="P12" s="39">
        <f t="shared" ca="1" si="2"/>
        <v>130.69518006700633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1880100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2956192</v>
      </c>
      <c r="M14" s="39">
        <f t="shared" si="8"/>
        <v>0</v>
      </c>
      <c r="N14" s="39">
        <f t="shared" ca="1" si="8"/>
        <v>1303451.69</v>
      </c>
      <c r="O14" s="39">
        <f t="shared" ca="1" si="1"/>
        <v>44.092254156698885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972400</v>
      </c>
      <c r="M16" s="39">
        <f t="shared" ca="1" si="10"/>
        <v>972400</v>
      </c>
      <c r="N16" s="39">
        <f t="shared" ca="1" si="10"/>
        <v>845429.7</v>
      </c>
      <c r="O16" s="50">
        <f t="shared" ca="1" si="1"/>
        <v>86.942585355820654</v>
      </c>
      <c r="P16" s="50">
        <f t="shared" ca="1" si="2"/>
        <v>86.942585355820654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3603965</v>
      </c>
      <c r="M18" s="23">
        <f t="shared" ca="1" si="11"/>
        <v>3674533</v>
      </c>
      <c r="N18" s="23">
        <f t="shared" ca="1" si="11"/>
        <v>3073535.6000000006</v>
      </c>
      <c r="O18" s="22">
        <f t="shared" ref="O18:O20" ca="1" si="12">IF(L18&gt;0,N18*100/L18,0)</f>
        <v>85.282060175390171</v>
      </c>
      <c r="P18" s="22">
        <f t="shared" ref="P18:P26" ca="1" si="13">IF(M18&gt;0,N18*100/M18,0)</f>
        <v>83.644250847658753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3603965</v>
      </c>
      <c r="M20" s="30">
        <f t="shared" ca="1" si="15"/>
        <v>3674533</v>
      </c>
      <c r="N20" s="30">
        <f t="shared" ca="1" si="15"/>
        <v>3073535.6000000006</v>
      </c>
      <c r="O20" s="29">
        <f t="shared" ca="1" si="12"/>
        <v>85.282060175390171</v>
      </c>
      <c r="P20" s="29">
        <f t="shared" ca="1" si="13"/>
        <v>83.644250847658753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2631565</v>
      </c>
      <c r="M22" s="42">
        <f t="shared" ca="1" si="18"/>
        <v>2702133</v>
      </c>
      <c r="N22" s="39">
        <f t="shared" ca="1" si="18"/>
        <v>2228105.9000000004</v>
      </c>
      <c r="O22" s="39">
        <f t="shared" ca="1" si="17"/>
        <v>84.668472942906604</v>
      </c>
      <c r="P22" s="39">
        <f t="shared" ca="1" si="13"/>
        <v>82.457299474156173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1880100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751465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972400</v>
      </c>
      <c r="M26" s="50">
        <f t="shared" ca="1" si="22"/>
        <v>972400</v>
      </c>
      <c r="N26" s="50">
        <f t="shared" ca="1" si="22"/>
        <v>845429.7</v>
      </c>
      <c r="O26" s="50">
        <f t="shared" ca="1" si="17"/>
        <v>86.942585355820654</v>
      </c>
      <c r="P26" s="50">
        <f t="shared" ca="1" si="13"/>
        <v>86.942585355820654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2204727</v>
      </c>
      <c r="M28" s="23">
        <f t="shared" si="23"/>
        <v>0</v>
      </c>
      <c r="N28" s="23">
        <f t="shared" ca="1" si="23"/>
        <v>1303451.69</v>
      </c>
      <c r="O28" s="22">
        <f t="shared" ref="O28:O30" ca="1" si="24">IF(L28&gt;0,N28*100/L28,0)</f>
        <v>59.120775043803611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2204727</v>
      </c>
      <c r="M30" s="30">
        <f t="shared" si="27"/>
        <v>0</v>
      </c>
      <c r="N30" s="30">
        <f t="shared" ca="1" si="27"/>
        <v>1303451.69</v>
      </c>
      <c r="O30" s="29">
        <f t="shared" ca="1" si="24"/>
        <v>59.120775043803611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2204727</v>
      </c>
      <c r="M32" s="39">
        <f t="shared" si="30"/>
        <v>0</v>
      </c>
      <c r="N32" s="39">
        <f t="shared" ca="1" si="30"/>
        <v>1303451.69</v>
      </c>
      <c r="O32" s="39">
        <f t="shared" ca="1" si="29"/>
        <v>59.120775043803611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2204727</v>
      </c>
      <c r="M34" s="39">
        <f t="shared" si="32"/>
        <v>0</v>
      </c>
      <c r="N34" s="39">
        <f t="shared" ca="1" si="32"/>
        <v>1303451.69</v>
      </c>
      <c r="O34" s="39">
        <f t="shared" ca="1" si="29"/>
        <v>59.120775043803611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3603965</v>
      </c>
      <c r="M37" s="55">
        <f t="shared" ca="1" si="33"/>
        <v>3674533</v>
      </c>
      <c r="N37" s="55">
        <f t="shared" ca="1" si="33"/>
        <v>3073535.5999999996</v>
      </c>
      <c r="O37" s="56">
        <f t="shared" ca="1" si="29"/>
        <v>85.282060175390143</v>
      </c>
      <c r="P37" s="56">
        <f t="shared" ca="1" si="25"/>
        <v>83.644250847658725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1614100</v>
      </c>
      <c r="M41" s="79">
        <f t="shared" ca="1" si="34"/>
        <v>1615954</v>
      </c>
      <c r="N41" s="79">
        <f t="shared" ca="1" si="34"/>
        <v>1387940.8399999999</v>
      </c>
      <c r="O41" s="78">
        <f t="shared" ref="O41:O43" ca="1" si="35">IF(L41&gt;0,N41*100/L41,0)</f>
        <v>85.988528591784899</v>
      </c>
      <c r="P41" s="78">
        <f t="shared" ref="P41:P43" ca="1" si="36">IF(M41&gt;0,N41*100/M41,0)</f>
        <v>85.889873102823472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1614100</v>
      </c>
      <c r="M43" s="79">
        <f t="shared" ca="1" si="38"/>
        <v>1615954</v>
      </c>
      <c r="N43" s="79">
        <f t="shared" ca="1" si="38"/>
        <v>1387940.8399999999</v>
      </c>
      <c r="O43" s="78">
        <f t="shared" ca="1" si="35"/>
        <v>85.988528591784899</v>
      </c>
      <c r="P43" s="78">
        <f t="shared" ca="1" si="36"/>
        <v>85.889873102823472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734100</v>
      </c>
      <c r="M45" s="50">
        <f ca="1">IFERROR(__xludf.DUMMYFUNCTION("IMPORTRANGE(""https://docs.google.com/spreadsheets/d/1Yj_ptqi66GCucihVvJfMjLAmec39IyEx_6qawtMGysU/edit?usp=sharing"",""สบก!Q35"")"),735954)</f>
        <v>735954</v>
      </c>
      <c r="N45" s="50">
        <f ca="1">IFERROR(__xludf.DUMMYFUNCTION("IMPORTRANGE(""https://docs.google.com/spreadsheets/d/1Yj_ptqi66GCucihVvJfMjLAmec39IyEx_6qawtMGysU/edit?usp=sharing"",""สบก!R35"")"),634911.14)</f>
        <v>634911.14</v>
      </c>
      <c r="O45" s="39">
        <f ca="1">IF(L45&gt;0,N45*100/L45,0)</f>
        <v>86.488372156381971</v>
      </c>
      <c r="P45" s="39">
        <f ca="1">IF(M45&gt;0,N45*100/M45,0)</f>
        <v>86.270492449256338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IFERROR(__xludf.DUMMYFUNCTION("IMPORTRANGE(""https://docs.google.com/spreadsheets/d/1Yj_ptqi66GCucihVvJfMjLAmec39IyEx_6qawtMGysU/edit?usp=sharing"",""สบก!M35"")"),734100)</f>
        <v>734100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IFERROR(__xludf.DUMMYFUNCTION("IMPORTRANGE(""https://docs.google.com/spreadsheets/d/1Yj_ptqi66GCucihVvJfMjLAmec39IyEx_6qawtMGysU/edit?usp=sharing"",""สบก!O35"")"),880000)</f>
        <v>880000</v>
      </c>
      <c r="M49" s="50">
        <f ca="1">L49</f>
        <v>880000</v>
      </c>
      <c r="N49" s="50">
        <f ca="1">IFERROR(__xludf.DUMMYFUNCTION("IMPORTRANGE(""https://docs.google.com/spreadsheets/d/1Yj_ptqi66GCucihVvJfMjLAmec39IyEx_6qawtMGysU/edit?usp=sharing"",""สบก!S35"")"),753029.7)</f>
        <v>753029.7</v>
      </c>
      <c r="O49" s="50">
        <f ca="1">IF(L49&gt;0,N49*100/L49,0)</f>
        <v>85.571556818181818</v>
      </c>
      <c r="P49" s="50">
        <f ca="1">IF(M49&gt;0,N49*100/M49,0)</f>
        <v>85.571556818181818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420914</v>
      </c>
      <c r="N53" s="121">
        <f t="shared" ca="1" si="39"/>
        <v>416801</v>
      </c>
      <c r="O53" s="120">
        <f t="shared" ref="O53:O55" ca="1" si="40">IF(L53&gt;0,N53*100/L53,0)</f>
        <v>104.20025</v>
      </c>
      <c r="P53" s="120">
        <f t="shared" ref="P53:P55" ca="1" si="41">IF(M53&gt;0,N53*100/M53,0)</f>
        <v>99.022840770323626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420914</v>
      </c>
      <c r="N55" s="121">
        <f t="shared" ca="1" si="43"/>
        <v>416801</v>
      </c>
      <c r="O55" s="120">
        <f t="shared" ca="1" si="40"/>
        <v>104.20025</v>
      </c>
      <c r="P55" s="120">
        <f t="shared" ca="1" si="41"/>
        <v>99.022840770323626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IFERROR(__xludf.DUMMYFUNCTION("IMPORTRANGE(""https://docs.google.com/spreadsheets/d/1Yj_ptqi66GCucihVvJfMjLAmec39IyEx_6qawtMGysU/edit?usp=sharing"",""สบก!Z35"")"),420914)</f>
        <v>420914</v>
      </c>
      <c r="N57" s="50">
        <f ca="1">IFERROR(__xludf.DUMMYFUNCTION("IMPORTRANGE(""https://docs.google.com/spreadsheets/d/1Yj_ptqi66GCucihVvJfMjLAmec39IyEx_6qawtMGysU/edit?usp=sharing"",""สบก!AA35"")"),416801)</f>
        <v>416801</v>
      </c>
      <c r="O57" s="39">
        <f ca="1">IF(L57&gt;0,N57*100/L57,0)</f>
        <v>104.20025</v>
      </c>
      <c r="P57" s="39">
        <f ca="1">IF(M57&gt;0,N57*100/M57,0)</f>
        <v>99.022840770323626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179676</v>
      </c>
      <c r="O94" s="151">
        <f t="shared" ref="O94:O96" ca="1" si="53">IF(L94&gt;0,N94*100/L94,0)</f>
        <v>83.765034965034971</v>
      </c>
      <c r="P94" s="151">
        <f t="shared" ref="P94:P96" ca="1" si="54">IF(M94&gt;0,N94*100/M94,0)</f>
        <v>83.765034965034971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179676</v>
      </c>
      <c r="O96" s="156">
        <f t="shared" ca="1" si="53"/>
        <v>83.765034965034971</v>
      </c>
      <c r="P96" s="156">
        <f t="shared" ca="1" si="54"/>
        <v>83.765034965034971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IFERROR(__xludf.DUMMYFUNCTION("IMPORTRANGE(""https://docs.google.com/spreadsheets/d/1Yj_ptqi66GCucihVvJfMjLAmec39IyEx_6qawtMGysU/edit?usp=sharing"",""สบก!AS35"")"),87276)</f>
        <v>87276</v>
      </c>
      <c r="O98" s="168">
        <f ca="1">IF(L98&gt;0,N98*100/L98,0)</f>
        <v>71.479115479115478</v>
      </c>
      <c r="P98" s="168">
        <f ca="1">IF(M98&gt;0,N98*100/M98,0)</f>
        <v>71.479115479115478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77611.600000000006</v>
      </c>
      <c r="O118" s="151">
        <f t="shared" ref="O118:O120" ca="1" si="59">IF(L118&gt;0,N118*100/L118,0)</f>
        <v>94.143134400776333</v>
      </c>
      <c r="P118" s="151">
        <f t="shared" ref="P118:P120" ca="1" si="60">IF(M118&gt;0,N118*100/M118,0)</f>
        <v>94.143134400776333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77611.600000000006</v>
      </c>
      <c r="O120" s="156">
        <f t="shared" ca="1" si="59"/>
        <v>94.143134400776333</v>
      </c>
      <c r="P120" s="156">
        <f t="shared" ca="1" si="60"/>
        <v>94.143134400776333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IFERROR(__xludf.DUMMYFUNCTION("IMPORTRANGE(""https://docs.google.com/spreadsheets/d/1Yj_ptqi66GCucihVvJfMjLAmec39IyEx_6qawtMGysU/edit?usp=sharing"",""สบก!BA35"")"),82440)</f>
        <v>82440</v>
      </c>
      <c r="N122" s="168">
        <f ca="1">IFERROR(__xludf.DUMMYFUNCTION("IMPORTRANGE(""https://docs.google.com/spreadsheets/d/1Yj_ptqi66GCucihVvJfMjLAmec39IyEx_6qawtMGysU/edit?usp=sharing"",""สบก!BB35"")"),77611.6)</f>
        <v>77611.600000000006</v>
      </c>
      <c r="O122" s="168">
        <f ca="1">IF(L122&gt;0,N122*100/L122,0)</f>
        <v>94.143134400776333</v>
      </c>
      <c r="P122" s="168">
        <f ca="1">IF(M122&gt;0,N122*100/M122,0)</f>
        <v>94.143134400776333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125100</v>
      </c>
      <c r="M140" s="152">
        <f t="shared" ca="1" si="64"/>
        <v>133100</v>
      </c>
      <c r="N140" s="152">
        <f t="shared" ca="1" si="64"/>
        <v>94952.6</v>
      </c>
      <c r="O140" s="151">
        <f t="shared" ref="O140:O142" ca="1" si="65">IF(L140&gt;0,N140*100/L140,0)</f>
        <v>75.901358912869711</v>
      </c>
      <c r="P140" s="151">
        <f t="shared" ref="P140:P142" ca="1" si="66">IF(M140&gt;0,N140*100/M140,0)</f>
        <v>71.339293764087159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125100</v>
      </c>
      <c r="M142" s="88">
        <f t="shared" ca="1" si="68"/>
        <v>133100</v>
      </c>
      <c r="N142" s="88">
        <f t="shared" ca="1" si="68"/>
        <v>94952.6</v>
      </c>
      <c r="O142" s="156">
        <f t="shared" ca="1" si="65"/>
        <v>75.901358912869711</v>
      </c>
      <c r="P142" s="156">
        <f t="shared" ca="1" si="66"/>
        <v>71.339293764087159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125100</v>
      </c>
      <c r="M144" s="167">
        <f ca="1">IFERROR(__xludf.DUMMYFUNCTION("IMPORTRANGE(""https://docs.google.com/spreadsheets/d/1Yj_ptqi66GCucihVvJfMjLAmec39IyEx_6qawtMGysU/edit?usp=sharing"",""สบก!BJ35"")"),133100)</f>
        <v>133100</v>
      </c>
      <c r="N144" s="168">
        <f ca="1">IFERROR(__xludf.DUMMYFUNCTION("IMPORTRANGE(""https://docs.google.com/spreadsheets/d/1Yj_ptqi66GCucihVvJfMjLAmec39IyEx_6qawtMGysU/edit?usp=sharing"",""สบก!BK35"")"),94952.6)</f>
        <v>94952.6</v>
      </c>
      <c r="O144" s="168">
        <f ca="1">IF(L144&gt;0,N144*100/L144,0)</f>
        <v>75.901358912869711</v>
      </c>
      <c r="P144" s="168">
        <f ca="1">IF(M144&gt;0,N144*100/M144,0)</f>
        <v>71.339293764087159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IFERROR(__xludf.DUMMYFUNCTION("IMPORTRANGE(""https://docs.google.com/spreadsheets/d/1Yj_ptqi66GCucihVvJfMjLAmec39IyEx_6qawtMGysU/edit?usp=sharing"",""สบก!BG35"")"),125100)</f>
        <v>125100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174005.76000000001</v>
      </c>
      <c r="O250" s="151">
        <f t="shared" ref="O250:O252" ca="1" si="78">IF(L250&gt;0,N250*100/L250,0)</f>
        <v>85.548554572271385</v>
      </c>
      <c r="P250" s="151">
        <f t="shared" ref="P250:P252" ca="1" si="79">IF(M250&gt;0,N250*100/M250,0)</f>
        <v>85.548554572271385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174005.76000000001</v>
      </c>
      <c r="O252" s="156">
        <f t="shared" ca="1" si="78"/>
        <v>85.548554572271385</v>
      </c>
      <c r="P252" s="156">
        <f t="shared" ca="1" si="79"/>
        <v>85.548554572271385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IFERROR(__xludf.DUMMYFUNCTION("IMPORTRANGE(""https://docs.google.com/spreadsheets/d/1Yj_ptqi66GCucihVvJfMjLAmec39IyEx_6qawtMGysU/edit?usp=sharing"",""สบก!CB35"")"),203400)</f>
        <v>203400</v>
      </c>
      <c r="N254" s="168">
        <f ca="1">IFERROR(__xludf.DUMMYFUNCTION("IMPORTRANGE(""https://docs.google.com/spreadsheets/d/1Yj_ptqi66GCucihVvJfMjLAmec39IyEx_6qawtMGysU/edit?usp=sharing"",""สบก!CC35"")"),174005.76)</f>
        <v>174005.76000000001</v>
      </c>
      <c r="O254" s="168">
        <f ca="1">IF(L254&gt;0,N254*100/L254,0)</f>
        <v>85.548554572271385</v>
      </c>
      <c r="P254" s="168">
        <f ca="1">IF(M254&gt;0,N254*100/M254,0)</f>
        <v>85.548554572271385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IFERROR(__xludf.DUMMYFUNCTION("IMPORTRANGE(""https://docs.google.com/spreadsheets/d/11923uPwbBZFjjGgGUA6NLw09EwE0CqkOc4q9oUmW1yo/edit?usp=sharing"",""อุตรดิตถ์!J228"")"),395)</f>
        <v>395</v>
      </c>
      <c r="K328" s="317">
        <f ca="1">IF(I328&gt;0,J328*100/I328,0)</f>
        <v>73.148148148148152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943300</v>
      </c>
      <c r="M329" s="152">
        <f t="shared" ca="1" si="98"/>
        <v>983100</v>
      </c>
      <c r="N329" s="152">
        <f t="shared" ca="1" si="98"/>
        <v>721422.8</v>
      </c>
      <c r="O329" s="151">
        <f t="shared" ref="O329:O331" ca="1" si="99">IF(L329&gt;0,N329*100/L329,0)</f>
        <v>76.478617618997134</v>
      </c>
      <c r="P329" s="151">
        <f t="shared" ref="P329:P331" ca="1" si="100">IF(M329&gt;0,N329*100/M329,0)</f>
        <v>73.382443291628519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943300</v>
      </c>
      <c r="M331" s="88">
        <f t="shared" ca="1" si="102"/>
        <v>983100</v>
      </c>
      <c r="N331" s="88">
        <f t="shared" ca="1" si="102"/>
        <v>721422.8</v>
      </c>
      <c r="O331" s="156">
        <f t="shared" ca="1" si="99"/>
        <v>76.478617618997134</v>
      </c>
      <c r="P331" s="156">
        <f t="shared" ca="1" si="100"/>
        <v>73.382443291628519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943300</v>
      </c>
      <c r="M333" s="167">
        <f ca="1">IFERROR(__xludf.DUMMYFUNCTION("IMPORTRANGE(""https://docs.google.com/spreadsheets/d/1Yj_ptqi66GCucihVvJfMjLAmec39IyEx_6qawtMGysU/edit?usp=sharing"",""สบก!DL35"")"),983100)</f>
        <v>983100</v>
      </c>
      <c r="N333" s="168">
        <f ca="1">IFERROR(__xludf.DUMMYFUNCTION("IMPORTRANGE(""https://docs.google.com/spreadsheets/d/1Yj_ptqi66GCucihVvJfMjLAmec39IyEx_6qawtMGysU/edit?usp=sharing"",""สบก!DM35"")"),721422.8)</f>
        <v>721422.8</v>
      </c>
      <c r="O333" s="168">
        <f ca="1">IF(L333&gt;0,N333*100/L333,0)</f>
        <v>76.478617618997134</v>
      </c>
      <c r="P333" s="168">
        <f ca="1">IF(M333&gt;0,N333*100/M333,0)</f>
        <v>73.382443291628519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IFERROR(__xludf.DUMMYFUNCTION("IMPORTRANGE(""https://docs.google.com/spreadsheets/d/1Yj_ptqi66GCucihVvJfMjLAmec39IyEx_6qawtMGysU/edit?usp=sharing"",""สบก!DI35"")"),329300)</f>
        <v>329300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IFERROR(__xludf.DUMMYFUNCTION("IMPORTRANGE(""https://docs.google.com/spreadsheets/d/11923uPwbBZFjjGgGUA6NLw09EwE0CqkOc4q9oUmW1yo/edit?usp=sharing"",""อุตรดิตถ์!J234"")"),152)</f>
        <v>152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IFERROR(__xludf.DUMMYFUNCTION("IMPORTRANGE(""https://docs.google.com/spreadsheets/d/11923uPwbBZFjjGgGUA6NLw09EwE0CqkOc4q9oUmW1yo/edit?usp=sharing"",""อุตรดิตถ์!J235"")"),940.089999999999)</f>
        <v>940.08999999999901</v>
      </c>
      <c r="K340" s="342">
        <f t="shared" ca="1" si="103"/>
        <v>117.51124999999988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IFERROR(__xludf.DUMMYFUNCTION("IMPORTRANGE(""https://docs.google.com/spreadsheets/d/11923uPwbBZFjjGgGUA6NLw09EwE0CqkOc4q9oUmW1yo/edit?usp=sharing"",""อุตรดิตถ์!J236"")"),483)</f>
        <v>483</v>
      </c>
      <c r="K341" s="342">
        <f t="shared" ca="1" si="103"/>
        <v>89.444444444444443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IFERROR(__xludf.DUMMYFUNCTION("IMPORTRANGE(""https://docs.google.com/spreadsheets/d/11923uPwbBZFjjGgGUA6NLw09EwE0CqkOc4q9oUmW1yo/edit?usp=sharing"",""อุตรดิตถ์!J237"")"),4681.32)</f>
        <v>4681.32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IFERROR(__xludf.DUMMYFUNCTION("IMPORTRANGE(""https://docs.google.com/spreadsheets/d/11923uPwbBZFjjGgGUA6NLw09EwE0CqkOc4q9oUmW1yo/edit?usp=sharing"",""อุตรดิตถ์!J240"")"),395)</f>
        <v>395</v>
      </c>
      <c r="K345" s="342">
        <f t="shared" ca="1" si="103"/>
        <v>73.148148148148152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IFERROR(__xludf.DUMMYFUNCTION("IMPORTRANGE(""https://docs.google.com/spreadsheets/d/11923uPwbBZFjjGgGUA6NLw09EwE0CqkOc4q9oUmW1yo/edit?usp=sharing"",""อุตรดิตถ์!J241"")"),4244.01)</f>
        <v>4244.01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IFERROR(__xludf.DUMMYFUNCTION("IMPORTRANGE(""https://docs.google.com/spreadsheets/d/11923uPwbBZFjjGgGUA6NLw09EwE0CqkOc4q9oUmW1yo/edit?usp=sharing"",""อุตรดิตถ์!L242"")"),2204727)</f>
        <v>2204727</v>
      </c>
      <c r="M347" s="357"/>
      <c r="N347" s="357">
        <f ca="1">IFERROR(__xludf.DUMMYFUNCTION("IMPORTRANGE(""https://docs.google.com/spreadsheets/d/11923uPwbBZFjjGgGUA6NLw09EwE0CqkOc4q9oUmW1yo/edit?usp=sharing"",""อุตรดิตถ์!M242"")"),1303451.69)</f>
        <v>1303451.69</v>
      </c>
      <c r="O347" s="357">
        <f ca="1">+IF(L347&gt;0,N347*100/L347,0)</f>
        <v>59.120775043803611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IFERROR(__xludf.DUMMYFUNCTION("IMPORTRANGE(""https://docs.google.com/spreadsheets/d/11923uPwbBZFjjGgGUA6NLw09EwE0CqkOc4q9oUmW1yo/edit?usp=sharing"",""อุตรดิตถ์!L244"")"),257760)</f>
        <v>257760</v>
      </c>
      <c r="M349" s="372"/>
      <c r="N349" s="372">
        <f ca="1">IFERROR(__xludf.DUMMYFUNCTION("IMPORTRANGE(""https://docs.google.com/spreadsheets/d/11923uPwbBZFjjGgGUA6NLw09EwE0CqkOc4q9oUmW1yo/edit?usp=sharing"",""อุตรดิตถ์!M244"")"),200092.6)</f>
        <v>200092.6</v>
      </c>
      <c r="O349" s="372">
        <f ca="1">+IF(L349&gt;0,N349*100/L349,0)</f>
        <v>77.627482929857237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IFERROR(__xludf.DUMMYFUNCTION("IMPORTRANGE(""https://docs.google.com/spreadsheets/d/11923uPwbBZFjjGgGUA6NLw09EwE0CqkOc4q9oUmW1yo/edit?usp=sharing"",""อุตรดิตถ์!M247"")"),200092.6)</f>
        <v>200092.6</v>
      </c>
      <c r="O352" s="165">
        <f t="shared" ca="1" si="105"/>
        <v>77.627482929857237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IFERROR(__xludf.DUMMYFUNCTION("IMPORTRANGE(""https://docs.google.com/spreadsheets/d/11923uPwbBZFjjGgGUA6NLw09EwE0CqkOc4q9oUmW1yo/edit?usp=sharing"",""อุตรดิตถ์!M249"")"),200092.6)</f>
        <v>200092.6</v>
      </c>
      <c r="O354" s="168">
        <f t="shared" ca="1" si="105"/>
        <v>77.627482929857237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IFERROR(__xludf.DUMMYFUNCTION("IMPORTRANGE(""https://docs.google.com/spreadsheets/d/11923uPwbBZFjjGgGUA6NLw09EwE0CqkOc4q9oUmW1yo/edit?usp=sharing"",""อุตรดิตถ์!M251"")"),37068)</f>
        <v>37068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IFERROR(__xludf.DUMMYFUNCTION("IMPORTRANGE(""https://docs.google.com/spreadsheets/d/11923uPwbBZFjjGgGUA6NLw09EwE0CqkOc4q9oUmW1yo/edit?usp=sharing"",""อุตรดิตถ์!M252"")"),94621)</f>
        <v>94621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IFERROR(__xludf.DUMMYFUNCTION("IMPORTRANGE(""https://docs.google.com/spreadsheets/d/11923uPwbBZFjjGgGUA6NLw09EwE0CqkOc4q9oUmW1yo/edit?usp=sharing"",""อุตรดิตถ์!M253"")"),16021.6)</f>
        <v>16021.6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IFERROR(__xludf.DUMMYFUNCTION("IMPORTRANGE(""https://docs.google.com/spreadsheets/d/11923uPwbBZFjjGgGUA6NLw09EwE0CqkOc4q9oUmW1yo/edit?usp=sharing"",""อุตรดิตถ์!M275"")"),335359.3)</f>
        <v>335359.3</v>
      </c>
      <c r="O380" s="372">
        <f ca="1">+IF(L380&gt;0,N380*100/L380,0)</f>
        <v>32.606006689223349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IFERROR(__xludf.DUMMYFUNCTION("IMPORTRANGE(""https://docs.google.com/spreadsheets/d/11923uPwbBZFjjGgGUA6NLw09EwE0CqkOc4q9oUmW1yo/edit?usp=sharing"",""อุตรดิตถ์!M278"")"),335359.3)</f>
        <v>335359.3</v>
      </c>
      <c r="O383" s="165">
        <f t="shared" ca="1" si="109"/>
        <v>32.606006689223349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IFERROR(__xludf.DUMMYFUNCTION("IMPORTRANGE(""https://docs.google.com/spreadsheets/d/11923uPwbBZFjjGgGUA6NLw09EwE0CqkOc4q9oUmW1yo/edit?usp=sharing"",""อุตรดิตถ์!M280"")"),335359.3)</f>
        <v>335359.3</v>
      </c>
      <c r="O385" s="168">
        <f t="shared" ca="1" si="109"/>
        <v>32.606006689223349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IFERROR(__xludf.DUMMYFUNCTION("IMPORTRANGE(""https://docs.google.com/spreadsheets/d/11923uPwbBZFjjGgGUA6NLw09EwE0CqkOc4q9oUmW1yo/edit?usp=sharing"",""อุตรดิตถ์!M283"")"),101588)</f>
        <v>101588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IFERROR(__xludf.DUMMYFUNCTION("IMPORTRANGE(""https://docs.google.com/spreadsheets/d/11923uPwbBZFjjGgGUA6NLw09EwE0CqkOc4q9oUmW1yo/edit?usp=sharing"",""อุตรดิตถ์!M284"")"),47568.3)</f>
        <v>47568.3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IFERROR(__xludf.DUMMYFUNCTION("IMPORTRANGE(""https://docs.google.com/spreadsheets/d/11923uPwbBZFjjGgGUA6NLw09EwE0CqkOc4q9oUmW1yo/edit?usp=sharing"",""อุตรดิตถ์!M296"")"),135569)</f>
        <v>135569</v>
      </c>
      <c r="O401" s="372">
        <f ca="1">+IF(L401&gt;0,N401*100/L401,0)</f>
        <v>84.757111597374177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IFERROR(__xludf.DUMMYFUNCTION("IMPORTRANGE(""https://docs.google.com/spreadsheets/d/11923uPwbBZFjjGgGUA6NLw09EwE0CqkOc4q9oUmW1yo/edit?usp=sharing"",""อุตรดิตถ์!M299"")"),135569)</f>
        <v>135569</v>
      </c>
      <c r="O404" s="168">
        <f t="shared" ca="1" si="112"/>
        <v>84.757111597374177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IFERROR(__xludf.DUMMYFUNCTION("IMPORTRANGE(""https://docs.google.com/spreadsheets/d/11923uPwbBZFjjGgGUA6NLw09EwE0CqkOc4q9oUmW1yo/edit?usp=sharing"",""อุตรดิตถ์!M301"")"),135569)</f>
        <v>135569</v>
      </c>
      <c r="O406" s="168">
        <f t="shared" ca="1" si="112"/>
        <v>84.757111597374177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IFERROR(__xludf.DUMMYFUNCTION("IMPORTRANGE(""https://docs.google.com/spreadsheets/d/11923uPwbBZFjjGgGUA6NLw09EwE0CqkOc4q9oUmW1yo/edit?usp=sharing"",""อุตรดิตถ์!M305"")"),14313)</f>
        <v>14313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IFERROR(__xludf.DUMMYFUNCTION("IMPORTRANGE(""https://docs.google.com/spreadsheets/d/11923uPwbBZFjjGgGUA6NLw09EwE0CqkOc4q9oUmW1yo/edit?usp=sharing"",""อุตรดิตถ์!M330"")"),76561.9)</f>
        <v>76561.899999999994</v>
      </c>
      <c r="O435" s="411">
        <f t="shared" ref="O435:O439" ca="1" si="114">+IF(L435&gt;0,N435*100/L435,0)</f>
        <v>76.561899999999994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IFERROR(__xludf.DUMMYFUNCTION("IMPORTRANGE(""https://docs.google.com/spreadsheets/d/11923uPwbBZFjjGgGUA6NLw09EwE0CqkOc4q9oUmW1yo/edit?usp=sharing"",""อุตรดิตถ์!M332"")"),76561.9)</f>
        <v>76561.899999999994</v>
      </c>
      <c r="O437" s="168">
        <f t="shared" ca="1" si="114"/>
        <v>76.561899999999994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IFERROR(__xludf.DUMMYFUNCTION("IMPORTRANGE(""https://docs.google.com/spreadsheets/d/11923uPwbBZFjjGgGUA6NLw09EwE0CqkOc4q9oUmW1yo/edit?usp=sharing"",""อุตรดิตถ์!M334"")"),76561.9)</f>
        <v>76561.899999999994</v>
      </c>
      <c r="O439" s="168">
        <f t="shared" ca="1" si="114"/>
        <v>76.561899999999994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IFERROR(__xludf.DUMMYFUNCTION("IMPORTRANGE(""https://docs.google.com/spreadsheets/d/11923uPwbBZFjjGgGUA6NLw09EwE0CqkOc4q9oUmW1yo/edit?usp=sharing"",""อุตรดิตถ์!M338"")"),36203.9)</f>
        <v>36203.9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IFERROR(__xludf.DUMMYFUNCTION("IMPORTRANGE(""https://docs.google.com/spreadsheets/d/11923uPwbBZFjjGgGUA6NLw09EwE0CqkOc4q9oUmW1yo/edit?usp=sharing"",""อุตรดิตถ์!J350"")"),26148)</f>
        <v>26148</v>
      </c>
      <c r="K455" s="371">
        <f ca="1">IF(I455&gt;0,J455*100/I455,0)</f>
        <v>96.351978775149234</v>
      </c>
      <c r="L455" s="372">
        <f ca="1">IFERROR(__xludf.DUMMYFUNCTION("IMPORTRANGE(""https://docs.google.com/spreadsheets/d/11923uPwbBZFjjGgGUA6NLw09EwE0CqkOc4q9oUmW1yo/edit?usp=sharing"",""อุตรดิตถ์!L350"")"),190727)</f>
        <v>190727</v>
      </c>
      <c r="M455" s="372"/>
      <c r="N455" s="372">
        <f ca="1">IFERROR(__xludf.DUMMYFUNCTION("IMPORTRANGE(""https://docs.google.com/spreadsheets/d/11923uPwbBZFjjGgGUA6NLw09EwE0CqkOc4q9oUmW1yo/edit?usp=sharing"",""อุตรดิตถ์!M350"")"),112883.69)</f>
        <v>112883.69</v>
      </c>
      <c r="O455" s="372">
        <f t="shared" ref="O455:O459" ca="1" si="116">+IF(L455&gt;0,N455*100/L455,0)</f>
        <v>59.186004079128807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IFERROR(__xludf.DUMMYFUNCTION("IMPORTRANGE(""https://docs.google.com/spreadsheets/d/11923uPwbBZFjjGgGUA6NLw09EwE0CqkOc4q9oUmW1yo/edit?usp=sharing"",""อุตรดิตถ์!L352"")"),190727)</f>
        <v>190727</v>
      </c>
      <c r="M457" s="165"/>
      <c r="N457" s="168">
        <f ca="1">IFERROR(__xludf.DUMMYFUNCTION("IMPORTRANGE(""https://docs.google.com/spreadsheets/d/11923uPwbBZFjjGgGUA6NLw09EwE0CqkOc4q9oUmW1yo/edit?usp=sharing"",""อุตรดิตถ์!M352"")"),112883.69)</f>
        <v>112883.69</v>
      </c>
      <c r="O457" s="168">
        <f t="shared" ca="1" si="116"/>
        <v>59.186004079128807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IFERROR(__xludf.DUMMYFUNCTION("IMPORTRANGE(""https://docs.google.com/spreadsheets/d/11923uPwbBZFjjGgGUA6NLw09EwE0CqkOc4q9oUmW1yo/edit?usp=sharing"",""อุตรดิตถ์!L354"")"),190727)</f>
        <v>190727</v>
      </c>
      <c r="M459" s="168"/>
      <c r="N459" s="168">
        <f ca="1">IFERROR(__xludf.DUMMYFUNCTION("IMPORTRANGE(""https://docs.google.com/spreadsheets/d/11923uPwbBZFjjGgGUA6NLw09EwE0CqkOc4q9oUmW1yo/edit?usp=sharing"",""อุตรดิตถ์!M354"")"),112883.69)</f>
        <v>112883.69</v>
      </c>
      <c r="O459" s="168">
        <f t="shared" ca="1" si="116"/>
        <v>59.186004079128807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IFERROR(__xludf.DUMMYFUNCTION("IMPORTRANGE(""https://docs.google.com/spreadsheets/d/11923uPwbBZFjjGgGUA6NLw09EwE0CqkOc4q9oUmW1yo/edit?usp=sharing"",""อุตรดิตถ์!M358"")"),112883.69)</f>
        <v>112883.69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IFERROR(__xludf.DUMMYFUNCTION("IMPORTRANGE(""https://docs.google.com/spreadsheets/d/11923uPwbBZFjjGgGUA6NLw09EwE0CqkOc4q9oUmW1yo/edit?usp=sharing"",""อุตรดิตถ์!J359"")"),26148)</f>
        <v>26148</v>
      </c>
      <c r="K464" s="268">
        <f t="shared" ref="K464:K515" ca="1" si="117">IF(I464&gt;0,J464*100/I464,0)</f>
        <v>96.351978775149234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IFERROR(__xludf.DUMMYFUNCTION("IMPORTRANGE(""https://docs.google.com/spreadsheets/d/11923uPwbBZFjjGgGUA6NLw09EwE0CqkOc4q9oUmW1yo/edit?usp=sharing"",""อุตรดิตถ์!J376"")"),26148)</f>
        <v>26148</v>
      </c>
      <c r="K481" s="201">
        <f t="shared" ca="1" si="117"/>
        <v>96.351978775149234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IFERROR(__xludf.DUMMYFUNCTION("IMPORTRANGE(""https://docs.google.com/spreadsheets/d/11923uPwbBZFjjGgGUA6NLw09EwE0CqkOc4q9oUmW1yo/edit?usp=sharing"",""อุตรดิตถ์!J377"")"),2671)</f>
        <v>2671</v>
      </c>
      <c r="K482" s="163">
        <f t="shared" ca="1" si="117"/>
        <v>96.635311143270627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IFERROR(__xludf.DUMMYFUNCTION("IMPORTRANGE(""https://docs.google.com/spreadsheets/d/11923uPwbBZFjjGgGUA6NLw09EwE0CqkOc4q9oUmW1yo/edit?usp=sharing"",""อุตรดิตถ์!J378"")"),25677)</f>
        <v>25677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IFERROR(__xludf.DUMMYFUNCTION("IMPORTRANGE(""https://docs.google.com/spreadsheets/d/11923uPwbBZFjjGgGUA6NLw09EwE0CqkOc4q9oUmW1yo/edit?usp=sharing"",""อุตรดิตถ์!J379"")"),2618)</f>
        <v>2618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IFERROR(__xludf.DUMMYFUNCTION("IMPORTRANGE(""https://docs.google.com/spreadsheets/d/11923uPwbBZFjjGgGUA6NLw09EwE0CqkOc4q9oUmW1yo/edit?usp=sharing"",""อุตรดิตถ์!J382"")"),471)</f>
        <v>471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IFERROR(__xludf.DUMMYFUNCTION("IMPORTRANGE(""https://docs.google.com/spreadsheets/d/11923uPwbBZFjjGgGUA6NLw09EwE0CqkOc4q9oUmW1yo/edit?usp=sharing"",""อุตรดิตถ์!J383"")"),53)</f>
        <v>53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IFERROR(__xludf.DUMMYFUNCTION("IMPORTRANGE(""https://docs.google.com/spreadsheets/d/11923uPwbBZFjjGgGUA6NLw09EwE0CqkOc4q9oUmW1yo/edit?usp=sharing"",""อุตรดิตถ์!J384"")"),471)</f>
        <v>471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IFERROR(__xludf.DUMMYFUNCTION("IMPORTRANGE(""https://docs.google.com/spreadsheets/d/11923uPwbBZFjjGgGUA6NLw09EwE0CqkOc4q9oUmW1yo/edit?usp=sharing"",""อุตรดิตถ์!J385"")"),53)</f>
        <v>53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IFERROR(__xludf.DUMMYFUNCTION("IMPORTRANGE(""https://docs.google.com/spreadsheets/d/11923uPwbBZFjjGgGUA6NLw09EwE0CqkOc4q9oUmW1yo/edit?usp=sharing"",""อุตรดิตถ์!J392"")"),12)</f>
        <v>12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IFERROR(__xludf.DUMMYFUNCTION("IMPORTRANGE(""https://docs.google.com/spreadsheets/d/11923uPwbBZFjjGgGUA6NLw09EwE0CqkOc4q9oUmW1yo/edit?usp=sharing"",""อุตรดิตถ์!J393"")"),12)</f>
        <v>12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IFERROR(__xludf.DUMMYFUNCTION("IMPORTRANGE(""https://docs.google.com/spreadsheets/d/11923uPwbBZFjjGgGUA6NLw09EwE0CqkOc4q9oUmW1yo/edit?usp=sharing"",""อุตรดิตถ์!J394"")"),4)</f>
        <v>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IFERROR(__xludf.DUMMYFUNCTION("IMPORTRANGE(""https://docs.google.com/spreadsheets/d/11923uPwbBZFjjGgGUA6NLw09EwE0CqkOc4q9oUmW1yo/edit?usp=sharing"",""อุตรดิตถ์!J395"")"),12)</f>
        <v>12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IFERROR(__xludf.DUMMYFUNCTION("IMPORTRANGE(""https://docs.google.com/spreadsheets/d/11923uPwbBZFjjGgGUA6NLw09EwE0CqkOc4q9oUmW1yo/edit?usp=sharing"",""อุตรดิตถ์!J397"")"),1.7)</f>
        <v>1.7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IFERROR(__xludf.DUMMYFUNCTION("IMPORTRANGE(""https://docs.google.com/spreadsheets/d/11923uPwbBZFjjGgGUA6NLw09EwE0CqkOc4q9oUmW1yo/edit?usp=sharing"",""อุตรดิตถ์!J398"")"),2)</f>
        <v>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IFERROR(__xludf.DUMMYFUNCTION("IMPORTRANGE(""https://docs.google.com/spreadsheets/d/11923uPwbBZFjjGgGUA6NLw09EwE0CqkOc4q9oUmW1yo/edit?usp=sharing"",""อุตรดิตถ์!J399"")"),10.3)</f>
        <v>10.3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IFERROR(__xludf.DUMMYFUNCTION("IMPORTRANGE(""https://docs.google.com/spreadsheets/d/11923uPwbBZFjjGgGUA6NLw09EwE0CqkOc4q9oUmW1yo/edit?usp=sharing"",""อุตรดิตถ์!J400"")"),2)</f>
        <v>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IFERROR(__xludf.DUMMYFUNCTION("IMPORTRANGE(""https://docs.google.com/spreadsheets/d/11923uPwbBZFjjGgGUA6NLw09EwE0CqkOc4q9oUmW1yo/edit?usp=sharing"",""อุตรดิตถ์!J420"")"),3)</f>
        <v>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IFERROR(__xludf.DUMMYFUNCTION("IMPORTRANGE(""https://docs.google.com/spreadsheets/d/11923uPwbBZFjjGgGUA6NLw09EwE0CqkOc4q9oUmW1yo/edit?usp=sharing"",""อุตรดิตถ์!J426"")"),3)</f>
        <v>3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IFERROR(__xludf.DUMMYFUNCTION("IMPORTRANGE(""https://docs.google.com/spreadsheets/d/11923uPwbBZFjjGgGUA6NLw09EwE0CqkOc4q9oUmW1yo/edit?usp=sharing"",""อุตรดิตถ์!M428"")"),31899)</f>
        <v>31899</v>
      </c>
      <c r="O533" s="411">
        <f t="shared" ref="O533:O537" ca="1" si="118">+IF(L533&gt;0,N533*100/L533,0)</f>
        <v>92.891671520093183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IFERROR(__xludf.DUMMYFUNCTION("IMPORTRANGE(""https://docs.google.com/spreadsheets/d/11923uPwbBZFjjGgGUA6NLw09EwE0CqkOc4q9oUmW1yo/edit?usp=sharing"",""อุตรดิตถ์!M430"")"),31899)</f>
        <v>31899</v>
      </c>
      <c r="O535" s="168">
        <f t="shared" ca="1" si="118"/>
        <v>92.891671520093183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IFERROR(__xludf.DUMMYFUNCTION("IMPORTRANGE(""https://docs.google.com/spreadsheets/d/11923uPwbBZFjjGgGUA6NLw09EwE0CqkOc4q9oUmW1yo/edit?usp=sharing"",""อุตรดิตถ์!M432"")"),31899)</f>
        <v>31899</v>
      </c>
      <c r="O537" s="168">
        <f t="shared" ca="1" si="118"/>
        <v>92.891671520093183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IFERROR(__xludf.DUMMYFUNCTION("IMPORTRANGE(""https://docs.google.com/spreadsheets/d/11923uPwbBZFjjGgGUA6NLw09EwE0CqkOc4q9oUmW1yo/edit?usp=sharing"",""อุตรดิตถ์!M436"")"),13159)</f>
        <v>13159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IFERROR(__xludf.DUMMYFUNCTION("IMPORTRANGE(""https://docs.google.com/spreadsheets/d/11923uPwbBZFjjGgGUA6NLw09EwE0CqkOc4q9oUmW1yo/edit?usp=sharing"",""อุตรดิตถ์!J446"")"),4914)</f>
        <v>4914</v>
      </c>
      <c r="K551" s="410">
        <f ca="1">IF(I551&gt;0,J551*100/I551,0)</f>
        <v>98.28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IFERROR(__xludf.DUMMYFUNCTION("IMPORTRANGE(""https://docs.google.com/spreadsheets/d/11923uPwbBZFjjGgGUA6NLw09EwE0CqkOc4q9oUmW1yo/edit?usp=sharing"",""อุตรดิตถ์!M446"")"),291182.2)</f>
        <v>291182.2</v>
      </c>
      <c r="O551" s="411">
        <f t="shared" ref="O551:O555" ca="1" si="120">+IF(L551&gt;0,N551*100/L551,0)</f>
        <v>97.060733333333332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IFERROR(__xludf.DUMMYFUNCTION("IMPORTRANGE(""https://docs.google.com/spreadsheets/d/11923uPwbBZFjjGgGUA6NLw09EwE0CqkOc4q9oUmW1yo/edit?usp=sharing"",""อุตรดิตถ์!M448"")"),291182.2)</f>
        <v>291182.2</v>
      </c>
      <c r="O553" s="168">
        <f t="shared" ca="1" si="120"/>
        <v>97.060733333333332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IFERROR(__xludf.DUMMYFUNCTION("IMPORTRANGE(""https://docs.google.com/spreadsheets/d/11923uPwbBZFjjGgGUA6NLw09EwE0CqkOc4q9oUmW1yo/edit?usp=sharing"",""อุตรดิตถ์!M450"")"),291182.2)</f>
        <v>291182.2</v>
      </c>
      <c r="O555" s="168">
        <f t="shared" ca="1" si="120"/>
        <v>97.060733333333332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IFERROR(__xludf.DUMMYFUNCTION("IMPORTRANGE(""https://docs.google.com/spreadsheets/d/11923uPwbBZFjjGgGUA6NLw09EwE0CqkOc4q9oUmW1yo/edit?usp=sharing"",""อุตรดิตถ์!M453"")"),71400)</f>
        <v>71400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IFERROR(__xludf.DUMMYFUNCTION("IMPORTRANGE(""https://docs.google.com/spreadsheets/d/11923uPwbBZFjjGgGUA6NLw09EwE0CqkOc4q9oUmW1yo/edit?usp=sharing"",""อุตรดิตถ์!M454"")"),219782.2)</f>
        <v>219782.2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IFERROR(__xludf.DUMMYFUNCTION("IMPORTRANGE(""https://docs.google.com/spreadsheets/d/11923uPwbBZFjjGgGUA6NLw09EwE0CqkOc4q9oUmW1yo/edit?usp=sharing"",""อุตรดิตถ์!J455"")"),4914)</f>
        <v>4914</v>
      </c>
      <c r="K560" s="224">
        <f t="shared" ref="K560:K561" ca="1" si="121">IF(I560&gt;0,J560*100/I560,0)</f>
        <v>98.28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IFERROR(__xludf.DUMMYFUNCTION("IMPORTRANGE(""https://docs.google.com/spreadsheets/d/11923uPwbBZFjjGgGUA6NLw09EwE0CqkOc4q9oUmW1yo/edit?usp=sharing"",""อุตรดิตถ์!J456"")"),661)</f>
        <v>661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IFERROR(__xludf.DUMMYFUNCTION("IMPORTRANGE(""https://docs.google.com/spreadsheets/d/11923uPwbBZFjjGgGUA6NLw09EwE0CqkOc4q9oUmW1yo/edit?usp=sharing"",""อุตรดิตถ์!J459"")"),3951)</f>
        <v>3951</v>
      </c>
      <c r="K564" s="371">
        <f ca="1">IF(I564&gt;0,J564*100/I564,0)</f>
        <v>359.18181818181819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IFERROR(__xludf.DUMMYFUNCTION("IMPORTRANGE(""https://docs.google.com/spreadsheets/d/11923uPwbBZFjjGgGUA6NLw09EwE0CqkOc4q9oUmW1yo/edit?usp=sharing"",""อุตรดิตถ์!M459"")"),118304)</f>
        <v>118304</v>
      </c>
      <c r="O564" s="372">
        <f t="shared" ref="O564:O568" ca="1" si="122">+IF(L564&gt;0,N564*100/L564,0)</f>
        <v>92.947831552482711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IFERROR(__xludf.DUMMYFUNCTION("IMPORTRANGE(""https://docs.google.com/spreadsheets/d/11923uPwbBZFjjGgGUA6NLw09EwE0CqkOc4q9oUmW1yo/edit?usp=sharing"",""อุตรดิตถ์!M461"")"),118304)</f>
        <v>118304</v>
      </c>
      <c r="O566" s="168">
        <f t="shared" ca="1" si="122"/>
        <v>92.947831552482711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IFERROR(__xludf.DUMMYFUNCTION("IMPORTRANGE(""https://docs.google.com/spreadsheets/d/11923uPwbBZFjjGgGUA6NLw09EwE0CqkOc4q9oUmW1yo/edit?usp=sharing"",""อุตรดิตถ์!M463"")"),118304)</f>
        <v>118304</v>
      </c>
      <c r="O568" s="168">
        <f t="shared" ca="1" si="122"/>
        <v>92.947831552482711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IFERROR(__xludf.DUMMYFUNCTION("IMPORTRANGE(""https://docs.google.com/spreadsheets/d/11923uPwbBZFjjGgGUA6NLw09EwE0CqkOc4q9oUmW1yo/edit?usp=sharing"",""อุตรดิตถ์!M466"")"),95388)</f>
        <v>95388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IFERROR(__xludf.DUMMYFUNCTION("IMPORTRANGE(""https://docs.google.com/spreadsheets/d/11923uPwbBZFjjGgGUA6NLw09EwE0CqkOc4q9oUmW1yo/edit?usp=sharing"",""อุตรดิตถ์!M467"")"),22916)</f>
        <v>22916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IFERROR(__xludf.DUMMYFUNCTION("IMPORTRANGE(""https://docs.google.com/spreadsheets/d/11923uPwbBZFjjGgGUA6NLw09EwE0CqkOc4q9oUmW1yo/edit?usp=sharing"",""อุตรดิตถ์!J468"")"),3951)</f>
        <v>3951</v>
      </c>
      <c r="K573" s="201">
        <f ca="1">IF(I573&gt;0,J573*100/I573,0)</f>
        <v>359.18181818181819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IFERROR(__xludf.DUMMYFUNCTION("IMPORTRANGE(""https://docs.google.com/spreadsheets/d/11923uPwbBZFjjGgGUA6NLw09EwE0CqkOc4q9oUmW1yo/edit?usp=sharing"",""อุตรดิตถ์!J470"")"),6)</f>
        <v>6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IFERROR(__xludf.DUMMYFUNCTION("IMPORTRANGE(""https://docs.google.com/spreadsheets/d/11923uPwbBZFjjGgGUA6NLw09EwE0CqkOc4q9oUmW1yo/edit?usp=sharing"",""อุตรดิตถ์!J471"")"),349)</f>
        <v>349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IFERROR(__xludf.DUMMYFUNCTION("IMPORTRANGE(""https://docs.google.com/spreadsheets/d/11923uPwbBZFjjGgGUA6NLw09EwE0CqkOc4q9oUmW1yo/edit?usp=sharing"",""อุตรดิตถ์!J472"")"),2721)</f>
        <v>2721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IFERROR(__xludf.DUMMYFUNCTION("IMPORTRANGE(""https://docs.google.com/spreadsheets/d/11923uPwbBZFjjGgGUA6NLw09EwE0CqkOc4q9oUmW1yo/edit?usp=sharing"",""อุตรดิตถ์!J474"")"),880)</f>
        <v>880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8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IFERROR(__xludf.DUMMYFUNCTION("IMPORTRANGE(""https://docs.google.com/spreadsheets/d/11923uPwbBZFjjGgGUA6NLw09EwE0CqkOc4q9oUmW1yo/edit?usp=sharing"",""อุตรดิตถ์!L492"")"),6150)</f>
        <v>6150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26.016260162601625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IFERROR(__xludf.DUMMYFUNCTION("IMPORTRANGE(""https://docs.google.com/spreadsheets/d/11923uPwbBZFjjGgGUA6NLw09EwE0CqkOc4q9oUmW1yo/edit?usp=sharing"",""อุตรดิตถ์!J523"")"),11288891.2)</f>
        <v>11288891.199999999</v>
      </c>
      <c r="K628" s="342">
        <f t="shared" ref="K628:K635" ca="1" si="129">IF(I628&gt;0,J628*100/I628,0)</f>
        <v>77.935465547130065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IFERROR(__xludf.DUMMYFUNCTION("IMPORTRANGE(""https://docs.google.com/spreadsheets/d/11923uPwbBZFjjGgGUA6NLw09EwE0CqkOc4q9oUmW1yo/edit?usp=sharing"",""อุตรดิตถ์!J524"")"),816)</f>
        <v>816</v>
      </c>
      <c r="K629" s="342">
        <f t="shared" ca="1" si="129"/>
        <v>99.149453219927096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IFERROR(__xludf.DUMMYFUNCTION("IMPORTRANGE(""https://docs.google.com/spreadsheets/d/11923uPwbBZFjjGgGUA6NLw09EwE0CqkOc4q9oUmW1yo/edit?usp=sharing"",""อุตรดิตถ์!J525"")"),2288339.35)</f>
        <v>2288339.35</v>
      </c>
      <c r="K630" s="342">
        <f t="shared" ca="1" si="129"/>
        <v>11.849073280719479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IFERROR(__xludf.DUMMYFUNCTION("IMPORTRANGE(""https://docs.google.com/spreadsheets/d/11923uPwbBZFjjGgGUA6NLw09EwE0CqkOc4q9oUmW1yo/edit?usp=sharing"",""อุตรดิตถ์!J526"")"),355)</f>
        <v>355</v>
      </c>
      <c r="K631" s="342">
        <f t="shared" ca="1" si="129"/>
        <v>50.859598853868192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IFERROR(__xludf.DUMMYFUNCTION("IMPORTRANGE(""https://docs.google.com/spreadsheets/d/11923uPwbBZFjjGgGUA6NLw09EwE0CqkOc4q9oUmW1yo/edit?usp=sharing"",""อุตรดิตถ์!J527"")"),452973.8)</f>
        <v>452973.8</v>
      </c>
      <c r="K632" s="342">
        <f t="shared" ca="1" si="129"/>
        <v>16.435779232671475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IFERROR(__xludf.DUMMYFUNCTION("IMPORTRANGE(""https://docs.google.com/spreadsheets/d/11923uPwbBZFjjGgGUA6NLw09EwE0CqkOc4q9oUmW1yo/edit?usp=sharing"",""อุตรดิตถ์!J528"")"),53)</f>
        <v>53</v>
      </c>
      <c r="K633" s="342">
        <f t="shared" ca="1" si="129"/>
        <v>67.088607594936704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IFERROR(__xludf.DUMMYFUNCTION("IMPORTRANGE(""https://docs.google.com/spreadsheets/d/11923uPwbBZFjjGgGUA6NLw09EwE0CqkOc4q9oUmW1yo/edit?usp=sharing"",""อุตรดิตถ์!J529"")"),11860000)</f>
        <v>11860000</v>
      </c>
      <c r="K634" s="342">
        <f t="shared" ca="1" si="129"/>
        <v>79.066666666666663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IFERROR(__xludf.DUMMYFUNCTION("IMPORTRANGE(""https://docs.google.com/spreadsheets/d/11923uPwbBZFjjGgGUA6NLw09EwE0CqkOc4q9oUmW1yo/edit?usp=sharing"",""อุตรดิตถ์!I530"")"),400)</f>
        <v>400</v>
      </c>
      <c r="J635" s="505">
        <f ca="1">IFERROR(__xludf.DUMMYFUNCTION("IMPORTRANGE(""https://docs.google.com/spreadsheets/d/11923uPwbBZFjjGgGUA6NLw09EwE0CqkOc4q9oUmW1yo/edit?usp=sharing"",""อุตรดิตถ์!J530"")"),270)</f>
        <v>270</v>
      </c>
      <c r="K635" s="487">
        <f t="shared" ca="1" si="129"/>
        <v>67.5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2420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2420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2420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IFERROR(__xludf.DUMMYFUNCTION("IMPORTRANGE(""https://docs.google.com/spreadsheets/d/11923uPwbBZFjjGgGUA6NLw09EwE0CqkOc4q9oUmW1yo/edit?usp=sharing"",""อุตรดิตถ์!J541"")"),0)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IFERROR(__xludf.DUMMYFUNCTION("IMPORTRANGE(""https://docs.google.com/spreadsheets/d/11923uPwbBZFjjGgGUA6NLw09EwE0CqkOc4q9oUmW1yo/edit?usp=sharing"",""อุตรดิตถ์!J542"")"),0)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IFERROR(__xludf.DUMMYFUNCTION("IMPORTRANGE(""https://docs.google.com/spreadsheets/d/11923uPwbBZFjjGgGUA6NLw09EwE0CqkOc4q9oUmW1yo/edit?usp=sharing"",""อุตรดิตถ์!I543"")"),0)</f>
        <v>0</v>
      </c>
      <c r="J648" s="536">
        <f ca="1">IFERROR(__xludf.DUMMYFUNCTION("IMPORTRANGE(""https://docs.google.com/spreadsheets/d/11923uPwbBZFjjGgGUA6NLw09EwE0CqkOc4q9oUmW1yo/edit?usp=sharing"",""อุตรดิตถ์!J543"")"),0)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IFERROR(__xludf.DUMMYFUNCTION("IMPORTRANGE(""https://docs.google.com/spreadsheets/d/11923uPwbBZFjjGgGUA6NLw09EwE0CqkOc4q9oUmW1yo/edit?usp=sharing"",""อุตรดิตถ์!L543"")"),0)</f>
        <v>0</v>
      </c>
      <c r="M648" s="521"/>
      <c r="N648" s="538">
        <f ca="1">IFERROR(__xludf.DUMMYFUNCTION("IMPORTRANGE(""https://docs.google.com/spreadsheets/d/11923uPwbBZFjjGgGUA6NLw09EwE0CqkOc4q9oUmW1yo/edit?usp=sharing"",""อุตรดิตถ์!M543"")"),0)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IFERROR(__xludf.DUMMYFUNCTION("IMPORTRANGE(""https://docs.google.com/spreadsheets/d/11923uPwbBZFjjGgGUA6NLw09EwE0CqkOc4q9oUmW1yo/edit?usp=sharing"",""อุตรดิตถ์!I544"")"),0)</f>
        <v>0</v>
      </c>
      <c r="J649" s="536">
        <f ca="1">IFERROR(__xludf.DUMMYFUNCTION("IMPORTRANGE(""https://docs.google.com/spreadsheets/d/11923uPwbBZFjjGgGUA6NLw09EwE0CqkOc4q9oUmW1yo/edit?usp=sharing"",""อุตรดิตถ์!J544"")"),0)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IFERROR(__xludf.DUMMYFUNCTION("IMPORTRANGE(""https://docs.google.com/spreadsheets/d/11923uPwbBZFjjGgGUA6NLw09EwE0CqkOc4q9oUmW1yo/edit?usp=sharing"",""อุตรดิตถ์!L544"")"),0)</f>
        <v>0</v>
      </c>
      <c r="M649" s="521"/>
      <c r="N649" s="538">
        <f ca="1">IFERROR(__xludf.DUMMYFUNCTION("IMPORTRANGE(""https://docs.google.com/spreadsheets/d/11923uPwbBZFjjGgGUA6NLw09EwE0CqkOc4q9oUmW1yo/edit?usp=sharing"",""อุตรดิตถ์!M544"")"),0)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IFERROR(__xludf.DUMMYFUNCTION("IMPORTRANGE(""https://docs.google.com/spreadsheets/d/11923uPwbBZFjjGgGUA6NLw09EwE0CqkOc4q9oUmW1yo/edit?usp=sharing"",""อุตรดิตถ์!I545"")"),4)</f>
        <v>4</v>
      </c>
      <c r="J650" s="536">
        <f ca="1">IFERROR(__xludf.DUMMYFUNCTION("IMPORTRANGE(""https://docs.google.com/spreadsheets/d/11923uPwbBZFjjGgGUA6NLw09EwE0CqkOc4q9oUmW1yo/edit?usp=sharing"",""อุตรดิตถ์!J545"")"),0)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IFERROR(__xludf.DUMMYFUNCTION("IMPORTRANGE(""https://docs.google.com/spreadsheets/d/11923uPwbBZFjjGgGUA6NLw09EwE0CqkOc4q9oUmW1yo/edit?usp=sharing"",""อุตรดิตถ์!L545"")"),20)</f>
        <v>20</v>
      </c>
      <c r="M650" s="521"/>
      <c r="N650" s="538">
        <f ca="1">IFERROR(__xludf.DUMMYFUNCTION("IMPORTRANGE(""https://docs.google.com/spreadsheets/d/11923uPwbBZFjjGgGUA6NLw09EwE0CqkOc4q9oUmW1yo/edit?usp=sharing"",""อุตรดิตถ์!M545"")"),0)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IFERROR(__xludf.DUMMYFUNCTION("IMPORTRANGE(""https://docs.google.com/spreadsheets/d/11923uPwbBZFjjGgGUA6NLw09EwE0CqkOc4q9oUmW1yo/edit?usp=sharing"",""อุตรดิตถ์!I546"")"),0)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IFERROR(__xludf.DUMMYFUNCTION("IMPORTRANGE(""https://docs.google.com/spreadsheets/d/11923uPwbBZFjjGgGUA6NLw09EwE0CqkOc4q9oUmW1yo/edit?usp=sharing"",""อุตรดิตถ์!L546"")"),0)</f>
        <v>0</v>
      </c>
      <c r="M651" s="521"/>
      <c r="N651" s="538">
        <f ca="1">IFERROR(__xludf.DUMMYFUNCTION("IMPORTRANGE(""https://docs.google.com/spreadsheets/d/11923uPwbBZFjjGgGUA6NLw09EwE0CqkOc4q9oUmW1yo/edit?usp=sharing"",""อุตรดิตถ์!M546"")"),0)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IFERROR(__xludf.DUMMYFUNCTION("IMPORTRANGE(""https://docs.google.com/spreadsheets/d/11923uPwbBZFjjGgGUA6NLw09EwE0CqkOc4q9oUmW1yo/edit?usp=sharing"",""อุตรดิตถ์!J547"")"),0)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IFERROR(__xludf.DUMMYFUNCTION("IMPORTRANGE(""https://docs.google.com/spreadsheets/d/11923uPwbBZFjjGgGUA6NLw09EwE0CqkOc4q9oUmW1yo/edit?usp=sharing"",""อุตรดิตถ์!J548"")"),0)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IFERROR(__xludf.DUMMYFUNCTION("IMPORTRANGE(""https://docs.google.com/spreadsheets/d/11923uPwbBZFjjGgGUA6NLw09EwE0CqkOc4q9oUmW1yo/edit?usp=sharing"",""อุตรดิตถ์!J550"")"),0)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IFERROR(__xludf.DUMMYFUNCTION("IMPORTRANGE(""https://docs.google.com/spreadsheets/d/11923uPwbBZFjjGgGUA6NLw09EwE0CqkOc4q9oUmW1yo/edit?usp=sharing"",""อุตรดิตถ์!J551"")"),0)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IFERROR(__xludf.DUMMYFUNCTION("IMPORTRANGE(""https://docs.google.com/spreadsheets/d/11923uPwbBZFjjGgGUA6NLw09EwE0CqkOc4q9oUmW1yo/edit?usp=sharing"",""อุตรดิตถ์!J552"")"),0)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IFERROR(__xludf.DUMMYFUNCTION("IMPORTRANGE(""https://docs.google.com/spreadsheets/d/11923uPwbBZFjjGgGUA6NLw09EwE0CqkOc4q9oUmW1yo/edit?usp=sharing"",""อุตรดิตถ์!J553"")"),0)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IFERROR(__xludf.DUMMYFUNCTION("IMPORTRANGE(""https://docs.google.com/spreadsheets/d/11923uPwbBZFjjGgGUA6NLw09EwE0CqkOc4q9oUmW1yo/edit?usp=sharing"",""อุตรดิตถ์!J554"")"),0)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IFERROR(__xludf.DUMMYFUNCTION("IMPORTRANGE(""https://docs.google.com/spreadsheets/d/11923uPwbBZFjjGgGUA6NLw09EwE0CqkOc4q9oUmW1yo/edit?usp=sharing"",""อุตรดิตถ์!J555"")"),0)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IFERROR(__xludf.DUMMYFUNCTION("IMPORTRANGE(""https://docs.google.com/spreadsheets/d/11923uPwbBZFjjGgGUA6NLw09EwE0CqkOc4q9oUmW1yo/edit?usp=sharing"",""อุตรดิตถ์!J556"")"),0)</f>
        <v>0</v>
      </c>
      <c r="K661" s="537"/>
      <c r="L661" s="522">
        <f ca="1">IFERROR(__xludf.DUMMYFUNCTION("IMPORTRANGE(""https://docs.google.com/spreadsheets/d/11923uPwbBZFjjGgGUA6NLw09EwE0CqkOc4q9oUmW1yo/edit?usp=sharing"",""อุตรดิตถ์!L556"")"),2280)</f>
        <v>2280</v>
      </c>
      <c r="M661" s="521"/>
      <c r="N661" s="538">
        <f ca="1">IFERROR(__xludf.DUMMYFUNCTION("IMPORTRANGE(""https://docs.google.com/spreadsheets/d/11923uPwbBZFjjGgGUA6NLw09EwE0CqkOc4q9oUmW1yo/edit?usp=sharing"",""อุตรดิตถ์!M556"")"),0)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IFERROR(__xludf.DUMMYFUNCTION("IMPORTRANGE(""https://docs.google.com/spreadsheets/d/11923uPwbBZFjjGgGUA6NLw09EwE0CqkOc4q9oUmW1yo/edit?usp=sharing"",""อุตรดิตถ์!J557"")"),0)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IFERROR(__xludf.DUMMYFUNCTION("IMPORTRANGE(""https://docs.google.com/spreadsheets/d/11923uPwbBZFjjGgGUA6NLw09EwE0CqkOc4q9oUmW1yo/edit?usp=sharing"",""อุตรดิตถ์!I558"")"),57)</f>
        <v>57</v>
      </c>
      <c r="J663" s="536">
        <f ca="1">IFERROR(__xludf.DUMMYFUNCTION("IMPORTRANGE(""https://docs.google.com/spreadsheets/d/11923uPwbBZFjjGgGUA6NLw09EwE0CqkOc4q9oUmW1yo/edit?usp=sharing"",""อุตรดิตถ์!J558"")"),0)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IFERROR(__xludf.DUMMYFUNCTION("IMPORTRANGE(""https://docs.google.com/spreadsheets/d/11923uPwbBZFjjGgGUA6NLw09EwE0CqkOc4q9oUmW1yo/edit?usp=sharing"",""อุตรดิตถ์!I560"")"),1)</f>
        <v>1</v>
      </c>
      <c r="J665" s="536">
        <f ca="1">IFERROR(__xludf.DUMMYFUNCTION("IMPORTRANGE(""https://docs.google.com/spreadsheets/d/11923uPwbBZFjjGgGUA6NLw09EwE0CqkOc4q9oUmW1yo/edit?usp=sharing"",""อุตรดิตถ์!J560"")"),0)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IFERROR(__xludf.DUMMYFUNCTION("IMPORTRANGE(""https://docs.google.com/spreadsheets/d/11923uPwbBZFjjGgGUA6NLw09EwE0CqkOc4q9oUmW1yo/edit?usp=sharing"",""อุตรดิตถ์!L560"")"),120)</f>
        <v>120</v>
      </c>
      <c r="M665" s="521"/>
      <c r="N665" s="538">
        <f ca="1">IFERROR(__xludf.DUMMYFUNCTION("IMPORTRANGE(""https://docs.google.com/spreadsheets/d/11923uPwbBZFjjGgGUA6NLw09EwE0CqkOc4q9oUmW1yo/edit?usp=sharing"",""อุตรดิตถ์!M560"")"),0)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IFERROR(__xludf.DUMMYFUNCTION("IMPORTRANGE(""https://docs.google.com/spreadsheets/d/11923uPwbBZFjjGgGUA6NLw09EwE0CqkOc4q9oUmW1yo/edit?usp=sharing"",""อุตรดิตถ์!J561"")"),0)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IFERROR(__xludf.DUMMYFUNCTION("IMPORTRANGE(""https://docs.google.com/spreadsheets/d/11923uPwbBZFjjGgGUA6NLw09EwE0CqkOc4q9oUmW1yo/edit?usp=sharing"",""อุตรดิตถ์!J562"")"),0)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IFERROR(__xludf.DUMMYFUNCTION("IMPORTRANGE(""https://docs.google.com/spreadsheets/d/11923uPwbBZFjjGgGUA6NLw09EwE0CqkOc4q9oUmW1yo/edit?usp=sharing"",""อุตรดิตถ์!I563"")"),0)</f>
        <v>0</v>
      </c>
      <c r="J668" s="536">
        <f ca="1">IFERROR(__xludf.DUMMYFUNCTION("IMPORTRANGE(""https://docs.google.com/spreadsheets/d/11923uPwbBZFjjGgGUA6NLw09EwE0CqkOc4q9oUmW1yo/edit?usp=sharing"",""อุตรดิตถ์!J563"")"),0)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IFERROR(__xludf.DUMMYFUNCTION("IMPORTRANGE(""https://docs.google.com/spreadsheets/d/11923uPwbBZFjjGgGUA6NLw09EwE0CqkOc4q9oUmW1yo/edit?usp=sharing"",""อุตรดิตถ์!L563"")"),0)</f>
        <v>0</v>
      </c>
      <c r="M668" s="521"/>
      <c r="N668" s="538">
        <f ca="1">IFERROR(__xludf.DUMMYFUNCTION("IMPORTRANGE(""https://docs.google.com/spreadsheets/d/11923uPwbBZFjjGgGUA6NLw09EwE0CqkOc4q9oUmW1yo/edit?usp=sharing"",""อุตรดิตถ์!M563"")"),0)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IFERROR(__xludf.DUMMYFUNCTION("IMPORTRANGE(""https://docs.google.com/spreadsheets/d/11923uPwbBZFjjGgGUA6NLw09EwE0CqkOc4q9oUmW1yo/edit?usp=sharing"",""อุตรดิตถ์!J564"")"),0)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IFERROR(__xludf.DUMMYFUNCTION("IMPORTRANGE(""https://docs.google.com/spreadsheets/d/11923uPwbBZFjjGgGUA6NLw09EwE0CqkOc4q9oUmW1yo/edit?usp=sharing"",""อุตรดิตถ์!J565"")"),0)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IFERROR(__xludf.DUMMYFUNCTION("IMPORTRANGE(""https://docs.google.com/spreadsheets/d/11923uPwbBZFjjGgGUA6NLw09EwE0CqkOc4q9oUmW1yo/edit?usp=sharing"",""อุตรดิตถ์!I566"")"),0)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IFERROR(__xludf.DUMMYFUNCTION("IMPORTRANGE(""https://docs.google.com/spreadsheets/d/11923uPwbBZFjjGgGUA6NLw09EwE0CqkOc4q9oUmW1yo/edit?usp=sharing"",""อุตรดิตถ์!L566"")"),0)</f>
        <v>0</v>
      </c>
      <c r="M671" s="521"/>
      <c r="N671" s="538">
        <f ca="1">IFERROR(__xludf.DUMMYFUNCTION("IMPORTRANGE(""https://docs.google.com/spreadsheets/d/11923uPwbBZFjjGgGUA6NLw09EwE0CqkOc4q9oUmW1yo/edit?usp=sharing"",""อุตรดิตถ์!M566"")"),0)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IFERROR(__xludf.DUMMYFUNCTION("IMPORTRANGE(""https://docs.google.com/spreadsheets/d/11923uPwbBZFjjGgGUA6NLw09EwE0CqkOc4q9oUmW1yo/edit?usp=sharing"",""อุตรดิตถ์!J567"")"),0)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IFERROR(__xludf.DUMMYFUNCTION("IMPORTRANGE(""https://docs.google.com/spreadsheets/d/11923uPwbBZFjjGgGUA6NLw09EwE0CqkOc4q9oUmW1yo/edit?usp=sharing"",""อุตรดิตถ์!J568"")"),0)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IFERROR(__xludf.DUMMYFUNCTION("IMPORTRANGE(""https://docs.google.com/spreadsheets/d/11923uPwbBZFjjGgGUA6NLw09EwE0CqkOc4q9oUmW1yo/edit?usp=sharing"",""อุตรดิตถ์!J569"")"),0)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IFERROR(__xludf.DUMMYFUNCTION("IMPORTRANGE(""https://docs.google.com/spreadsheets/d/11923uPwbBZFjjGgGUA6NLw09EwE0CqkOc4q9oUmW1yo/edit?usp=sharing"",""อุตรดิตถ์!J570"")"),0)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IFERROR(__xludf.DUMMYFUNCTION("IMPORTRANGE(""https://docs.google.com/spreadsheets/d/11923uPwbBZFjjGgGUA6NLw09EwE0CqkOc4q9oUmW1yo/edit?usp=sharing"",""อุตรดิตถ์!J571"")"),0)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IFERROR(__xludf.DUMMYFUNCTION("IMPORTRANGE(""https://docs.google.com/spreadsheets/d/11923uPwbBZFjjGgGUA6NLw09EwE0CqkOc4q9oUmW1yo/edit?usp=sharing"",""อุตรดิตถ์!J572"")"),0)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292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6768250</v>
      </c>
      <c r="M8" s="23">
        <f t="shared" ca="1" si="0"/>
        <v>4934107</v>
      </c>
      <c r="N8" s="23">
        <f t="shared" ca="1" si="0"/>
        <v>5014177.9000000004</v>
      </c>
      <c r="O8" s="22">
        <f t="shared" ref="O8:O16" ca="1" si="1">IF(L8&gt;0,N8*100/L8,0)</f>
        <v>74.083816348391395</v>
      </c>
      <c r="P8" s="22">
        <f t="shared" ref="P8:P16" ca="1" si="2">IF(M8&gt;0,N8*100/M8,0)</f>
        <v>101.62280428859772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6768250</v>
      </c>
      <c r="M10" s="30">
        <f t="shared" ca="1" si="4"/>
        <v>4934107</v>
      </c>
      <c r="N10" s="30">
        <f t="shared" ca="1" si="4"/>
        <v>5014177.9000000004</v>
      </c>
      <c r="O10" s="29">
        <f t="shared" ca="1" si="1"/>
        <v>74.083816348391395</v>
      </c>
      <c r="P10" s="29">
        <f t="shared" ca="1" si="2"/>
        <v>101.62280428859772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6528850</v>
      </c>
      <c r="M12" s="39">
        <f t="shared" ca="1" si="6"/>
        <v>4694707</v>
      </c>
      <c r="N12" s="39">
        <f t="shared" ca="1" si="6"/>
        <v>4776777.9000000004</v>
      </c>
      <c r="O12" s="39">
        <f t="shared" ca="1" si="1"/>
        <v>73.164154483561433</v>
      </c>
      <c r="P12" s="39">
        <f t="shared" ca="1" si="2"/>
        <v>101.74815808526498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2346000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4182850</v>
      </c>
      <c r="M14" s="39">
        <f t="shared" si="8"/>
        <v>0</v>
      </c>
      <c r="N14" s="39">
        <f t="shared" ca="1" si="8"/>
        <v>981366.23</v>
      </c>
      <c r="O14" s="39">
        <f t="shared" ca="1" si="1"/>
        <v>23.461664415410546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239400</v>
      </c>
      <c r="M16" s="39">
        <f t="shared" ca="1" si="10"/>
        <v>239400</v>
      </c>
      <c r="N16" s="39">
        <f t="shared" ca="1" si="10"/>
        <v>237400</v>
      </c>
      <c r="O16" s="50">
        <f t="shared" ca="1" si="1"/>
        <v>99.16457811194654</v>
      </c>
      <c r="P16" s="50">
        <f t="shared" ca="1" si="2"/>
        <v>99.16457811194654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4556855</v>
      </c>
      <c r="M18" s="23">
        <f t="shared" ca="1" si="11"/>
        <v>4934107</v>
      </c>
      <c r="N18" s="23">
        <f t="shared" ca="1" si="11"/>
        <v>4032811.67</v>
      </c>
      <c r="O18" s="22">
        <f t="shared" ref="O18:O20" ca="1" si="12">IF(L18&gt;0,N18*100/L18,0)</f>
        <v>88.499890165475975</v>
      </c>
      <c r="P18" s="22">
        <f t="shared" ref="P18:P26" ca="1" si="13">IF(M18&gt;0,N18*100/M18,0)</f>
        <v>81.733364720302987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4556855</v>
      </c>
      <c r="M20" s="30">
        <f t="shared" ca="1" si="15"/>
        <v>4934107</v>
      </c>
      <c r="N20" s="30">
        <f t="shared" ca="1" si="15"/>
        <v>4032811.67</v>
      </c>
      <c r="O20" s="29">
        <f t="shared" ca="1" si="12"/>
        <v>88.499890165475975</v>
      </c>
      <c r="P20" s="29">
        <f t="shared" ca="1" si="13"/>
        <v>81.733364720302987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4317455</v>
      </c>
      <c r="M22" s="42">
        <f t="shared" ca="1" si="18"/>
        <v>4694707</v>
      </c>
      <c r="N22" s="39">
        <f t="shared" ca="1" si="18"/>
        <v>3795411.67</v>
      </c>
      <c r="O22" s="39">
        <f t="shared" ca="1" si="17"/>
        <v>87.908540332209597</v>
      </c>
      <c r="P22" s="39">
        <f t="shared" ca="1" si="13"/>
        <v>80.844484437473952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2346000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1971455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239400</v>
      </c>
      <c r="M26" s="50">
        <f t="shared" ca="1" si="22"/>
        <v>239400</v>
      </c>
      <c r="N26" s="50">
        <f t="shared" ca="1" si="22"/>
        <v>237400</v>
      </c>
      <c r="O26" s="50">
        <f t="shared" ca="1" si="17"/>
        <v>99.16457811194654</v>
      </c>
      <c r="P26" s="50">
        <f t="shared" ca="1" si="13"/>
        <v>99.16457811194654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2211395</v>
      </c>
      <c r="M28" s="23">
        <f t="shared" si="23"/>
        <v>0</v>
      </c>
      <c r="N28" s="23">
        <f t="shared" ca="1" si="23"/>
        <v>981366.23</v>
      </c>
      <c r="O28" s="22">
        <f t="shared" ref="O28:O30" ca="1" si="24">IF(L28&gt;0,N28*100/L28,0)</f>
        <v>44.377699596860808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2211395</v>
      </c>
      <c r="M30" s="30">
        <f t="shared" si="27"/>
        <v>0</v>
      </c>
      <c r="N30" s="30">
        <f t="shared" ca="1" si="27"/>
        <v>981366.23</v>
      </c>
      <c r="O30" s="29">
        <f t="shared" ca="1" si="24"/>
        <v>44.377699596860808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2211395</v>
      </c>
      <c r="M32" s="39">
        <f t="shared" si="30"/>
        <v>0</v>
      </c>
      <c r="N32" s="39">
        <f t="shared" ca="1" si="30"/>
        <v>981366.23</v>
      </c>
      <c r="O32" s="39">
        <f t="shared" ca="1" si="29"/>
        <v>44.377699596860808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2211395</v>
      </c>
      <c r="M34" s="39">
        <f t="shared" si="32"/>
        <v>0</v>
      </c>
      <c r="N34" s="39">
        <f t="shared" ca="1" si="32"/>
        <v>981366.23</v>
      </c>
      <c r="O34" s="39">
        <f t="shared" ca="1" si="29"/>
        <v>44.377699596860808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4556855</v>
      </c>
      <c r="M37" s="55">
        <f t="shared" ca="1" si="33"/>
        <v>4934107</v>
      </c>
      <c r="N37" s="55">
        <f t="shared" ca="1" si="33"/>
        <v>4032811.67</v>
      </c>
      <c r="O37" s="56">
        <f t="shared" ca="1" si="29"/>
        <v>88.499890165475975</v>
      </c>
      <c r="P37" s="56">
        <f t="shared" ca="1" si="25"/>
        <v>81.733364720302987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784100</v>
      </c>
      <c r="N41" s="79">
        <f t="shared" ca="1" si="34"/>
        <v>690091.03</v>
      </c>
      <c r="O41" s="78">
        <f t="shared" ref="O41:O43" ca="1" si="35">IF(L41&gt;0,N41*100/L41,0)</f>
        <v>88.010589210559871</v>
      </c>
      <c r="P41" s="78">
        <f t="shared" ref="P41:P43" ca="1" si="36">IF(M41&gt;0,N41*100/M41,0)</f>
        <v>88.010589210559871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784100</v>
      </c>
      <c r="N43" s="79">
        <f t="shared" ca="1" si="38"/>
        <v>690091.03</v>
      </c>
      <c r="O43" s="78">
        <f t="shared" ca="1" si="35"/>
        <v>88.010589210559871</v>
      </c>
      <c r="P43" s="78">
        <f t="shared" ca="1" si="36"/>
        <v>88.010589210559871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784100</v>
      </c>
      <c r="M45" s="50">
        <f ca="1">IFERROR(__xludf.DUMMYFUNCTION("IMPORTRANGE(""https://docs.google.com/spreadsheets/d/1Yj_ptqi66GCucihVvJfMjLAmec39IyEx_6qawtMGysU/edit?usp=sharing"",""สบก!Q36"")"),784100)</f>
        <v>784100</v>
      </c>
      <c r="N45" s="50">
        <f ca="1">IFERROR(__xludf.DUMMYFUNCTION("IMPORTRANGE(""https://docs.google.com/spreadsheets/d/1Yj_ptqi66GCucihVvJfMjLAmec39IyEx_6qawtMGysU/edit?usp=sharing"",""สบก!R36"")"),690091.03)</f>
        <v>690091.03</v>
      </c>
      <c r="O45" s="39">
        <f ca="1">IF(L45&gt;0,N45*100/L45,0)</f>
        <v>88.010589210559871</v>
      </c>
      <c r="P45" s="39">
        <f ca="1">IF(M45&gt;0,N45*100/M45,0)</f>
        <v>88.010589210559871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IFERROR(__xludf.DUMMYFUNCTION("IMPORTRANGE(""https://docs.google.com/spreadsheets/d/1Yj_ptqi66GCucihVvJfMjLAmec39IyEx_6qawtMGysU/edit?usp=sharing"",""สบก!M36"")"),784100)</f>
        <v>784100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IFERROR(__xludf.DUMMYFUNCTION("IMPORTRANGE(""https://docs.google.com/spreadsheets/d/1Yj_ptqi66GCucihVvJfMjLAmec39IyEx_6qawtMGysU/edit?usp=sharing"",""สบก!O36"")"),0)</f>
        <v>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750000</v>
      </c>
      <c r="M53" s="121">
        <f t="shared" ca="1" si="39"/>
        <v>777702</v>
      </c>
      <c r="N53" s="121">
        <f t="shared" ca="1" si="39"/>
        <v>740550</v>
      </c>
      <c r="O53" s="120">
        <f t="shared" ref="O53:O55" ca="1" si="40">IF(L53&gt;0,N53*100/L53,0)</f>
        <v>98.74</v>
      </c>
      <c r="P53" s="120">
        <f t="shared" ref="P53:P55" ca="1" si="41">IF(M53&gt;0,N53*100/M53,0)</f>
        <v>95.222848854702704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750000</v>
      </c>
      <c r="M55" s="121">
        <f t="shared" ca="1" si="43"/>
        <v>777702</v>
      </c>
      <c r="N55" s="121">
        <f t="shared" ca="1" si="43"/>
        <v>740550</v>
      </c>
      <c r="O55" s="120">
        <f t="shared" ca="1" si="40"/>
        <v>98.74</v>
      </c>
      <c r="P55" s="120">
        <f t="shared" ca="1" si="41"/>
        <v>95.222848854702704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750000</v>
      </c>
      <c r="M57" s="50">
        <f ca="1">IFERROR(__xludf.DUMMYFUNCTION("IMPORTRANGE(""https://docs.google.com/spreadsheets/d/1Yj_ptqi66GCucihVvJfMjLAmec39IyEx_6qawtMGysU/edit?usp=sharing"",""สบก!Z36"")"),777702)</f>
        <v>777702</v>
      </c>
      <c r="N57" s="50">
        <f ca="1">IFERROR(__xludf.DUMMYFUNCTION("IMPORTRANGE(""https://docs.google.com/spreadsheets/d/1Yj_ptqi66GCucihVvJfMjLAmec39IyEx_6qawtMGysU/edit?usp=sharing"",""สบก!AA36"")"),740550)</f>
        <v>740550</v>
      </c>
      <c r="O57" s="39">
        <f ca="1">IF(L57&gt;0,N57*100/L57,0)</f>
        <v>98.74</v>
      </c>
      <c r="P57" s="39">
        <f ca="1">IF(M57&gt;0,N57*100/M57,0)</f>
        <v>95.222848854702704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IFERROR(__xludf.DUMMYFUNCTION("IMPORTRANGE(""https://docs.google.com/spreadsheets/d/1Yj_ptqi66GCucihVvJfMjLAmec39IyEx_6qawtMGysU/edit?usp=sharing"",""สบก!V36"")"),750000)</f>
        <v>750000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829500</v>
      </c>
      <c r="M66" s="152">
        <f t="shared" ca="1" si="45"/>
        <v>868300</v>
      </c>
      <c r="N66" s="152">
        <f t="shared" ca="1" si="45"/>
        <v>727424.64</v>
      </c>
      <c r="O66" s="151">
        <f t="shared" ref="O66:O68" ca="1" si="46">IF(L66&gt;0,N66*100/L66,0)</f>
        <v>87.694350813743213</v>
      </c>
      <c r="P66" s="151">
        <f t="shared" ref="P66:P68" ca="1" si="47">IF(M66&gt;0,N66*100/M66,0)</f>
        <v>83.775727283197057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829500</v>
      </c>
      <c r="M68" s="88">
        <f t="shared" ca="1" si="49"/>
        <v>868300</v>
      </c>
      <c r="N68" s="88">
        <f t="shared" ca="1" si="49"/>
        <v>727424.64</v>
      </c>
      <c r="O68" s="156">
        <f t="shared" ca="1" si="46"/>
        <v>87.694350813743213</v>
      </c>
      <c r="P68" s="156">
        <f t="shared" ca="1" si="47"/>
        <v>83.775727283197057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IFERROR(__xludf.DUMMYFUNCTION("IMPORTRANGE(""https://docs.google.com/spreadsheets/d/1Yj_ptqi66GCucihVvJfMjLAmec39IyEx_6qawtMGysU/edit?usp=sharing"",""สบก!AI36"")"),868300)</f>
        <v>868300</v>
      </c>
      <c r="N70" s="168">
        <f ca="1">IFERROR(__xludf.DUMMYFUNCTION("IMPORTRANGE(""https://docs.google.com/spreadsheets/d/1Yj_ptqi66GCucihVvJfMjLAmec39IyEx_6qawtMGysU/edit?usp=sharing"",""สบก!AJ36"")"),727424.64)</f>
        <v>727424.64</v>
      </c>
      <c r="O70" s="168">
        <f ca="1">IF(L70&gt;0,N70*100/L70,0)</f>
        <v>87.694350813743213</v>
      </c>
      <c r="P70" s="168">
        <f ca="1">IF(M70&gt;0,N70*100/M70,0)</f>
        <v>83.775727283197057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157310</v>
      </c>
      <c r="O94" s="151">
        <f t="shared" ref="O94:O96" ca="1" si="53">IF(L94&gt;0,N94*100/L94,0)</f>
        <v>73.337995337995338</v>
      </c>
      <c r="P94" s="151">
        <f t="shared" ref="P94:P96" ca="1" si="54">IF(M94&gt;0,N94*100/M94,0)</f>
        <v>73.337995337995338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157310</v>
      </c>
      <c r="O96" s="156">
        <f t="shared" ca="1" si="53"/>
        <v>73.337995337995338</v>
      </c>
      <c r="P96" s="156">
        <f t="shared" ca="1" si="54"/>
        <v>73.337995337995338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IFERROR(__xludf.DUMMYFUNCTION("IMPORTRANGE(""https://docs.google.com/spreadsheets/d/1Yj_ptqi66GCucihVvJfMjLAmec39IyEx_6qawtMGysU/edit?usp=sharing"",""สบก!AR36"")"),122100)</f>
        <v>122100</v>
      </c>
      <c r="N98" s="168">
        <f ca="1">IFERROR(__xludf.DUMMYFUNCTION("IMPORTRANGE(""https://docs.google.com/spreadsheets/d/1Yj_ptqi66GCucihVvJfMjLAmec39IyEx_6qawtMGysU/edit?usp=sharing"",""สบก!AS36"")"),64910)</f>
        <v>64910</v>
      </c>
      <c r="O98" s="168">
        <f ca="1">IF(L98&gt;0,N98*100/L98,0)</f>
        <v>53.161343161343162</v>
      </c>
      <c r="P98" s="168">
        <f ca="1">IF(M98&gt;0,N98*100/M98,0)</f>
        <v>53.161343161343162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129600</v>
      </c>
      <c r="M140" s="152">
        <f t="shared" ca="1" si="64"/>
        <v>137600</v>
      </c>
      <c r="N140" s="152">
        <f t="shared" ca="1" si="64"/>
        <v>81240</v>
      </c>
      <c r="O140" s="151">
        <f t="shared" ref="O140:O142" ca="1" si="65">IF(L140&gt;0,N140*100/L140,0)</f>
        <v>62.685185185185183</v>
      </c>
      <c r="P140" s="151">
        <f t="shared" ref="P140:P142" ca="1" si="66">IF(M140&gt;0,N140*100/M140,0)</f>
        <v>59.040697674418603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129600</v>
      </c>
      <c r="M142" s="88">
        <f t="shared" ca="1" si="68"/>
        <v>137600</v>
      </c>
      <c r="N142" s="88">
        <f t="shared" ca="1" si="68"/>
        <v>81240</v>
      </c>
      <c r="O142" s="156">
        <f t="shared" ca="1" si="65"/>
        <v>62.685185185185183</v>
      </c>
      <c r="P142" s="156">
        <f t="shared" ca="1" si="66"/>
        <v>59.040697674418603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129600</v>
      </c>
      <c r="M144" s="167">
        <f ca="1">IFERROR(__xludf.DUMMYFUNCTION("IMPORTRANGE(""https://docs.google.com/spreadsheets/d/1Yj_ptqi66GCucihVvJfMjLAmec39IyEx_6qawtMGysU/edit?usp=sharing"",""สบก!BJ36"")"),137600)</f>
        <v>137600</v>
      </c>
      <c r="N144" s="168">
        <f ca="1">IFERROR(__xludf.DUMMYFUNCTION("IMPORTRANGE(""https://docs.google.com/spreadsheets/d/1Yj_ptqi66GCucihVvJfMjLAmec39IyEx_6qawtMGysU/edit?usp=sharing"",""สบก!BK36"")"),81240)</f>
        <v>81240</v>
      </c>
      <c r="O144" s="168">
        <f ca="1">IF(L144&gt;0,N144*100/L144,0)</f>
        <v>62.685185185185183</v>
      </c>
      <c r="P144" s="168">
        <f ca="1">IF(M144&gt;0,N144*100/M144,0)</f>
        <v>59.040697674418603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IFERROR(__xludf.DUMMYFUNCTION("IMPORTRANGE(""https://docs.google.com/spreadsheets/d/1Yj_ptqi66GCucihVvJfMjLAmec39IyEx_6qawtMGysU/edit?usp=sharing"",""สบก!BG36"")"),129600)</f>
        <v>129600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147042</v>
      </c>
      <c r="O250" s="151">
        <f t="shared" ref="O250:O252" ca="1" si="78">IF(L250&gt;0,N250*100/L250,0)</f>
        <v>72.292035398230084</v>
      </c>
      <c r="P250" s="151">
        <f t="shared" ref="P250:P252" ca="1" si="79">IF(M250&gt;0,N250*100/M250,0)</f>
        <v>72.292035398230084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147042</v>
      </c>
      <c r="O252" s="156">
        <f t="shared" ca="1" si="78"/>
        <v>72.292035398230084</v>
      </c>
      <c r="P252" s="156">
        <f t="shared" ca="1" si="79"/>
        <v>72.292035398230084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IFERROR(__xludf.DUMMYFUNCTION("IMPORTRANGE(""https://docs.google.com/spreadsheets/d/1Yj_ptqi66GCucihVvJfMjLAmec39IyEx_6qawtMGysU/edit?usp=sharing"",""สบก!CB36"")"),203400)</f>
        <v>203400</v>
      </c>
      <c r="N254" s="168">
        <f ca="1">IFERROR(__xludf.DUMMYFUNCTION("IMPORTRANGE(""https://docs.google.com/spreadsheets/d/1Yj_ptqi66GCucihVvJfMjLAmec39IyEx_6qawtMGysU/edit?usp=sharing"",""สบก!CC36"")"),147042)</f>
        <v>147042</v>
      </c>
      <c r="O254" s="168">
        <f ca="1">IF(L254&gt;0,N254*100/L254,0)</f>
        <v>72.292035398230084</v>
      </c>
      <c r="P254" s="168">
        <f ca="1">IF(M254&gt;0,N254*100/M254,0)</f>
        <v>72.292035398230084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161692</v>
      </c>
      <c r="O271" s="151">
        <f t="shared" ref="O271:O273" ca="1" si="84">IF(L271&gt;0,N271*100/L271,0)</f>
        <v>88.067538126361654</v>
      </c>
      <c r="P271" s="151">
        <f t="shared" ref="P271:P273" ca="1" si="85">IF(M271&gt;0,N271*100/M271,0)</f>
        <v>88.067538126361654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161692</v>
      </c>
      <c r="O273" s="156">
        <f t="shared" ca="1" si="84"/>
        <v>88.067538126361654</v>
      </c>
      <c r="P273" s="156">
        <f t="shared" ca="1" si="85"/>
        <v>88.067538126361654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IFERROR(__xludf.DUMMYFUNCTION("IMPORTRANGE(""https://docs.google.com/spreadsheets/d/1Yj_ptqi66GCucihVvJfMjLAmec39IyEx_6qawtMGysU/edit?usp=sharing"",""สบก!CK36"")"),183600)</f>
        <v>183600</v>
      </c>
      <c r="N275" s="168">
        <f ca="1">IFERROR(__xludf.DUMMYFUNCTION("IMPORTRANGE(""https://docs.google.com/spreadsheets/d/1Yj_ptqi66GCucihVvJfMjLAmec39IyEx_6qawtMGysU/edit?usp=sharing"",""สบก!CL36"")"),161692)</f>
        <v>161692</v>
      </c>
      <c r="O275" s="168">
        <f ca="1">IF(L275&gt;0,N275*100/L275,0)</f>
        <v>88.067538126361654</v>
      </c>
      <c r="P275" s="168">
        <f ca="1">IF(M275&gt;0,N275*100/M275,0)</f>
        <v>88.067538126361654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120760</v>
      </c>
      <c r="M290" s="152">
        <f t="shared" ca="1" si="88"/>
        <v>120760</v>
      </c>
      <c r="N290" s="152">
        <f t="shared" ca="1" si="88"/>
        <v>50045</v>
      </c>
      <c r="O290" s="151">
        <f t="shared" ref="O290:O292" ca="1" si="89">IF(L290&gt;0,N290*100/L290,0)</f>
        <v>41.441702550513412</v>
      </c>
      <c r="P290" s="151">
        <f t="shared" ref="P290:P292" ca="1" si="90">IF(M290&gt;0,N290*100/M290,0)</f>
        <v>41.441702550513412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120760</v>
      </c>
      <c r="M292" s="88">
        <f t="shared" ca="1" si="92"/>
        <v>120760</v>
      </c>
      <c r="N292" s="88">
        <f t="shared" ca="1" si="92"/>
        <v>50045</v>
      </c>
      <c r="O292" s="156">
        <f t="shared" ca="1" si="89"/>
        <v>41.441702550513412</v>
      </c>
      <c r="P292" s="156">
        <f t="shared" ca="1" si="90"/>
        <v>41.441702550513412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IFERROR(__xludf.DUMMYFUNCTION("IMPORTRANGE(""https://docs.google.com/spreadsheets/d/1Yj_ptqi66GCucihVvJfMjLAmec39IyEx_6qawtMGysU/edit?usp=sharing"",""สบก!CU36"")"),50045)</f>
        <v>50045</v>
      </c>
      <c r="O294" s="168">
        <f ca="1">IF(L294&gt;0,N294*100/L294,0)</f>
        <v>41.441702550513412</v>
      </c>
      <c r="P294" s="168">
        <f ca="1">IF(M294&gt;0,N294*100/M294,0)</f>
        <v>41.441702550513412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262600</v>
      </c>
      <c r="M310" s="152">
        <f t="shared" ca="1" si="93"/>
        <v>512600</v>
      </c>
      <c r="N310" s="152">
        <f t="shared" ca="1" si="93"/>
        <v>369885</v>
      </c>
      <c r="O310" s="151">
        <f t="shared" ref="O310:O312" ca="1" si="94">IF(L310&gt;0,N310*100/L310,0)</f>
        <v>140.85491241431836</v>
      </c>
      <c r="P310" s="151">
        <f t="shared" ref="P310:P312" ca="1" si="95">IF(M310&gt;0,N310*100/M310,0)</f>
        <v>72.158603199375733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262600</v>
      </c>
      <c r="M312" s="88">
        <f t="shared" ca="1" si="97"/>
        <v>512600</v>
      </c>
      <c r="N312" s="88">
        <f t="shared" ca="1" si="97"/>
        <v>369885</v>
      </c>
      <c r="O312" s="156">
        <f t="shared" ca="1" si="94"/>
        <v>140.85491241431836</v>
      </c>
      <c r="P312" s="156">
        <f t="shared" ca="1" si="95"/>
        <v>72.158603199375733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IFERROR(__xludf.DUMMYFUNCTION("IMPORTRANGE(""https://docs.google.com/spreadsheets/d/1Yj_ptqi66GCucihVvJfMjLAmec39IyEx_6qawtMGysU/edit?usp=sharing"",""สบก!DC36"")"),512600)</f>
        <v>512600</v>
      </c>
      <c r="N314" s="168">
        <f ca="1">IFERROR(__xludf.DUMMYFUNCTION("IMPORTRANGE(""https://docs.google.com/spreadsheets/d/1Yj_ptqi66GCucihVvJfMjLAmec39IyEx_6qawtMGysU/edit?usp=sharing"",""สบก!DD36"")"),369885)</f>
        <v>369885</v>
      </c>
      <c r="O314" s="168">
        <f ca="1">IF(L314&gt;0,N314*100/L314,0)</f>
        <v>140.85491241431836</v>
      </c>
      <c r="P314" s="168">
        <f ca="1">IF(M314&gt;0,N314*100/M314,0)</f>
        <v>72.158603199375733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IFERROR(__xludf.DUMMYFUNCTION("IMPORTRANGE(""https://docs.google.com/spreadsheets/d/11923uPwbBZFjjGgGUA6NLw09EwE0CqkOc4q9oUmW1yo/edit?usp=sharing"",""อุทัยธานี!J228"")"),175)</f>
        <v>175</v>
      </c>
      <c r="K328" s="317">
        <f ca="1">IF(I328&gt;0,J328*100/I328,0)</f>
        <v>81.395348837209298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1057670</v>
      </c>
      <c r="M329" s="152">
        <f t="shared" ca="1" si="98"/>
        <v>1110420</v>
      </c>
      <c r="N329" s="152">
        <f t="shared" ca="1" si="98"/>
        <v>887027</v>
      </c>
      <c r="O329" s="151">
        <f t="shared" ref="O329:O331" ca="1" si="99">IF(L329&gt;0,N329*100/L329,0)</f>
        <v>83.8661397222196</v>
      </c>
      <c r="P329" s="151">
        <f t="shared" ref="P329:P331" ca="1" si="100">IF(M329&gt;0,N329*100/M329,0)</f>
        <v>79.882116676572835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1057670</v>
      </c>
      <c r="M331" s="88">
        <f t="shared" ca="1" si="102"/>
        <v>1110420</v>
      </c>
      <c r="N331" s="88">
        <f t="shared" ca="1" si="102"/>
        <v>887027</v>
      </c>
      <c r="O331" s="156">
        <f t="shared" ca="1" si="99"/>
        <v>83.8661397222196</v>
      </c>
      <c r="P331" s="156">
        <f t="shared" ca="1" si="100"/>
        <v>79.882116676572835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IFERROR(__xludf.DUMMYFUNCTION("IMPORTRANGE(""https://docs.google.com/spreadsheets/d/1Yj_ptqi66GCucihVvJfMjLAmec39IyEx_6qawtMGysU/edit?usp=sharing"",""สบก!DL36"")"),963420)</f>
        <v>963420</v>
      </c>
      <c r="N333" s="168">
        <f ca="1">IFERROR(__xludf.DUMMYFUNCTION("IMPORTRANGE(""https://docs.google.com/spreadsheets/d/1Yj_ptqi66GCucihVvJfMjLAmec39IyEx_6qawtMGysU/edit?usp=sharing"",""สบก!DM36"")"),742027)</f>
        <v>742027</v>
      </c>
      <c r="O333" s="168">
        <f ca="1">IF(L333&gt;0,N333*100/L333,0)</f>
        <v>81.481436744375017</v>
      </c>
      <c r="P333" s="168">
        <f ca="1">IF(M333&gt;0,N333*100/M333,0)</f>
        <v>77.020095077951467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98.639455782312922</v>
      </c>
      <c r="P337" s="50">
        <f ca="1">IF(M337&gt;0,N337*100/M337,0)</f>
        <v>98.639455782312922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IFERROR(__xludf.DUMMYFUNCTION("IMPORTRANGE(""https://docs.google.com/spreadsheets/d/11923uPwbBZFjjGgGUA6NLw09EwE0CqkOc4q9oUmW1yo/edit?usp=sharing"",""อุทัยธานี!J234"")"),198)</f>
        <v>198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IFERROR(__xludf.DUMMYFUNCTION("IMPORTRANGE(""https://docs.google.com/spreadsheets/d/11923uPwbBZFjjGgGUA6NLw09EwE0CqkOc4q9oUmW1yo/edit?usp=sharing"",""อุทัยธานี!J235"")"),2040.84)</f>
        <v>2040.84</v>
      </c>
      <c r="K340" s="342">
        <f t="shared" ca="1" si="103"/>
        <v>102.042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IFERROR(__xludf.DUMMYFUNCTION("IMPORTRANGE(""https://docs.google.com/spreadsheets/d/11923uPwbBZFjjGgGUA6NLw09EwE0CqkOc4q9oUmW1yo/edit?usp=sharing"",""อุทัยธานี!J236"")"),281)</f>
        <v>281</v>
      </c>
      <c r="K341" s="342">
        <f t="shared" ca="1" si="103"/>
        <v>130.69767441860466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IFERROR(__xludf.DUMMYFUNCTION("IMPORTRANGE(""https://docs.google.com/spreadsheets/d/11923uPwbBZFjjGgGUA6NLw09EwE0CqkOc4q9oUmW1yo/edit?usp=sharing"",""อุทัยธานี!J237"")"),3917.08)</f>
        <v>3917.08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IFERROR(__xludf.DUMMYFUNCTION("IMPORTRANGE(""https://docs.google.com/spreadsheets/d/11923uPwbBZFjjGgGUA6NLw09EwE0CqkOc4q9oUmW1yo/edit?usp=sharing"",""อุทัยธานี!J240"")"),175)</f>
        <v>175</v>
      </c>
      <c r="K345" s="342">
        <f t="shared" ca="1" si="103"/>
        <v>81.395348837209298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IFERROR(__xludf.DUMMYFUNCTION("IMPORTRANGE(""https://docs.google.com/spreadsheets/d/11923uPwbBZFjjGgGUA6NLw09EwE0CqkOc4q9oUmW1yo/edit?usp=sharing"",""อุทัยธานี!J241"")"),2777.48)</f>
        <v>2777.48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IFERROR(__xludf.DUMMYFUNCTION("IMPORTRANGE(""https://docs.google.com/spreadsheets/d/11923uPwbBZFjjGgGUA6NLw09EwE0CqkOc4q9oUmW1yo/edit?usp=sharing"",""อุทัยธานี!L242"")"),2211395)</f>
        <v>2211395</v>
      </c>
      <c r="M347" s="357"/>
      <c r="N347" s="357">
        <f ca="1">IFERROR(__xludf.DUMMYFUNCTION("IMPORTRANGE(""https://docs.google.com/spreadsheets/d/11923uPwbBZFjjGgGUA6NLw09EwE0CqkOc4q9oUmW1yo/edit?usp=sharing"",""อุทัยธานี!M242"")"),981366.23)</f>
        <v>981366.23</v>
      </c>
      <c r="O347" s="357">
        <f ca="1">+IF(L347&gt;0,N347*100/L347,0)</f>
        <v>44.377699596860808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IFERROR(__xludf.DUMMYFUNCTION("IMPORTRANGE(""https://docs.google.com/spreadsheets/d/11923uPwbBZFjjGgGUA6NLw09EwE0CqkOc4q9oUmW1yo/edit?usp=sharing"",""อุทัยธานี!J244"")"),20)</f>
        <v>20</v>
      </c>
      <c r="K349" s="371">
        <f t="shared" ref="K349:K350" ca="1" si="104">IF(I349&gt;0,J349*100/I349,0)</f>
        <v>28.571428571428573</v>
      </c>
      <c r="L349" s="372">
        <f ca="1">IFERROR(__xludf.DUMMYFUNCTION("IMPORTRANGE(""https://docs.google.com/spreadsheets/d/11923uPwbBZFjjGgGUA6NLw09EwE0CqkOc4q9oUmW1yo/edit?usp=sharing"",""อุทัยธานี!L244"")"),303160)</f>
        <v>303160</v>
      </c>
      <c r="M349" s="372"/>
      <c r="N349" s="372">
        <f ca="1">IFERROR(__xludf.DUMMYFUNCTION("IMPORTRANGE(""https://docs.google.com/spreadsheets/d/11923uPwbBZFjjGgGUA6NLw09EwE0CqkOc4q9oUmW1yo/edit?usp=sharing"",""อุทัยธานี!M244"")"),255522.9)</f>
        <v>255522.9</v>
      </c>
      <c r="O349" s="372">
        <f ca="1">+IF(L349&gt;0,N349*100/L349,0)</f>
        <v>84.286482385538989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IFERROR(__xludf.DUMMYFUNCTION("IMPORTRANGE(""https://docs.google.com/spreadsheets/d/11923uPwbBZFjjGgGUA6NLw09EwE0CqkOc4q9oUmW1yo/edit?usp=sharing"",""อุทัยธานี!M247"")"),255522.9)</f>
        <v>255522.9</v>
      </c>
      <c r="O352" s="165">
        <f t="shared" ca="1" si="105"/>
        <v>84.286482385538989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IFERROR(__xludf.DUMMYFUNCTION("IMPORTRANGE(""https://docs.google.com/spreadsheets/d/11923uPwbBZFjjGgGUA6NLw09EwE0CqkOc4q9oUmW1yo/edit?usp=sharing"",""อุทัยธานี!M249"")"),255522.9)</f>
        <v>255522.9</v>
      </c>
      <c r="O354" s="168">
        <f t="shared" ca="1" si="105"/>
        <v>84.286482385538989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IFERROR(__xludf.DUMMYFUNCTION("IMPORTRANGE(""https://docs.google.com/spreadsheets/d/11923uPwbBZFjjGgGUA6NLw09EwE0CqkOc4q9oUmW1yo/edit?usp=sharing"",""อุทัยธานี!M251"")"),75000)</f>
        <v>75000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IFERROR(__xludf.DUMMYFUNCTION("IMPORTRANGE(""https://docs.google.com/spreadsheets/d/11923uPwbBZFjjGgGUA6NLw09EwE0CqkOc4q9oUmW1yo/edit?usp=sharing"",""อุทัยธานี!M252"")"),108362.9)</f>
        <v>108362.9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IFERROR(__xludf.DUMMYFUNCTION("IMPORTRANGE(""https://docs.google.com/spreadsheets/d/11923uPwbBZFjjGgGUA6NLw09EwE0CqkOc4q9oUmW1yo/edit?usp=sharing"",""อุทัยธานี!M253"")"),21760)</f>
        <v>21760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IFERROR(__xludf.DUMMYFUNCTION("IMPORTRANGE(""https://docs.google.com/spreadsheets/d/11923uPwbBZFjjGgGUA6NLw09EwE0CqkOc4q9oUmW1yo/edit?usp=sharing"",""อุทัยธานี!M275"")"),302752)</f>
        <v>302752</v>
      </c>
      <c r="O380" s="372">
        <f ca="1">+IF(L380&gt;0,N380*100/L380,0)</f>
        <v>29.435694006922567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IFERROR(__xludf.DUMMYFUNCTION("IMPORTRANGE(""https://docs.google.com/spreadsheets/d/11923uPwbBZFjjGgGUA6NLw09EwE0CqkOc4q9oUmW1yo/edit?usp=sharing"",""อุทัยธานี!M278"")"),302752)</f>
        <v>302752</v>
      </c>
      <c r="O383" s="165">
        <f t="shared" ca="1" si="109"/>
        <v>29.435694006922567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IFERROR(__xludf.DUMMYFUNCTION("IMPORTRANGE(""https://docs.google.com/spreadsheets/d/11923uPwbBZFjjGgGUA6NLw09EwE0CqkOc4q9oUmW1yo/edit?usp=sharing"",""อุทัยธานี!M280"")"),302752)</f>
        <v>302752</v>
      </c>
      <c r="O385" s="168">
        <f t="shared" ca="1" si="109"/>
        <v>29.435694006922567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IFERROR(__xludf.DUMMYFUNCTION("IMPORTRANGE(""https://docs.google.com/spreadsheets/d/11923uPwbBZFjjGgGUA6NLw09EwE0CqkOc4q9oUmW1yo/edit?usp=sharing"",""อุทัยธานี!M283"")"),81942)</f>
        <v>81942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IFERROR(__xludf.DUMMYFUNCTION("IMPORTRANGE(""https://docs.google.com/spreadsheets/d/11923uPwbBZFjjGgGUA6NLw09EwE0CqkOc4q9oUmW1yo/edit?usp=sharing"",""อุทัยธานี!M284"")"),22810)</f>
        <v>22810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IFERROR(__xludf.DUMMYFUNCTION("IMPORTRANGE(""https://docs.google.com/spreadsheets/d/11923uPwbBZFjjGgGUA6NLw09EwE0CqkOc4q9oUmW1yo/edit?usp=sharing"",""อุทัยธานี!M296"")"),166744)</f>
        <v>166744</v>
      </c>
      <c r="O401" s="372">
        <f ca="1">+IF(L401&gt;0,N401*100/L401,0)</f>
        <v>93.729061270376619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IFERROR(__xludf.DUMMYFUNCTION("IMPORTRANGE(""https://docs.google.com/spreadsheets/d/11923uPwbBZFjjGgGUA6NLw09EwE0CqkOc4q9oUmW1yo/edit?usp=sharing"",""อุทัยธานี!M299"")"),166744)</f>
        <v>166744</v>
      </c>
      <c r="O404" s="168">
        <f t="shared" ca="1" si="112"/>
        <v>93.729061270376619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IFERROR(__xludf.DUMMYFUNCTION("IMPORTRANGE(""https://docs.google.com/spreadsheets/d/11923uPwbBZFjjGgGUA6NLw09EwE0CqkOc4q9oUmW1yo/edit?usp=sharing"",""อุทัยธานี!M301"")"),166744)</f>
        <v>166744</v>
      </c>
      <c r="O406" s="168">
        <f t="shared" ca="1" si="112"/>
        <v>93.729061270376619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IFERROR(__xludf.DUMMYFUNCTION("IMPORTRANGE(""https://docs.google.com/spreadsheets/d/11923uPwbBZFjjGgGUA6NLw09EwE0CqkOc4q9oUmW1yo/edit?usp=sharing"",""อุทัยธานี!M302"")"),104000)</f>
        <v>104000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IFERROR(__xludf.DUMMYFUNCTION("IMPORTRANGE(""https://docs.google.com/spreadsheets/d/11923uPwbBZFjjGgGUA6NLw09EwE0CqkOc4q9oUmW1yo/edit?usp=sharing"",""อุทัยธานี!M303"")"),44000)</f>
        <v>44000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IFERROR(__xludf.DUMMYFUNCTION("IMPORTRANGE(""https://docs.google.com/spreadsheets/d/11923uPwbBZFjjGgGUA6NLw09EwE0CqkOc4q9oUmW1yo/edit?usp=sharing"",""อุทัยธานี!M305"")"),18744)</f>
        <v>18744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IFERROR(__xludf.DUMMYFUNCTION("IMPORTRANGE(""https://docs.google.com/spreadsheets/d/11923uPwbBZFjjGgGUA6NLw09EwE0CqkOc4q9oUmW1yo/edit?usp=sharing"",""อุทัยธานี!L350"")"),320488)</f>
        <v>320488</v>
      </c>
      <c r="M455" s="372"/>
      <c r="N455" s="372">
        <f ca="1">IFERROR(__xludf.DUMMYFUNCTION("IMPORTRANGE(""https://docs.google.com/spreadsheets/d/11923uPwbBZFjjGgGUA6NLw09EwE0CqkOc4q9oUmW1yo/edit?usp=sharing"",""อุทัยธานี!M350"")"),55590)</f>
        <v>55590</v>
      </c>
      <c r="O455" s="372">
        <f t="shared" ref="O455:O459" ca="1" si="116">+IF(L455&gt;0,N455*100/L455,0)</f>
        <v>17.345423229574898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IFERROR(__xludf.DUMMYFUNCTION("IMPORTRANGE(""https://docs.google.com/spreadsheets/d/11923uPwbBZFjjGgGUA6NLw09EwE0CqkOc4q9oUmW1yo/edit?usp=sharing"",""อุทัยธานี!L352"")"),320488)</f>
        <v>320488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IFERROR(__xludf.DUMMYFUNCTION("IMPORTRANGE(""https://docs.google.com/spreadsheets/d/11923uPwbBZFjjGgGUA6NLw09EwE0CqkOc4q9oUmW1yo/edit?usp=sharing"",""อุทัยธานี!M352"")"),55590)</f>
        <v>55590</v>
      </c>
      <c r="O457" s="168">
        <f t="shared" ca="1" si="116"/>
        <v>17.345423229574898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IFERROR(__xludf.DUMMYFUNCTION("IMPORTRANGE(""https://docs.google.com/spreadsheets/d/11923uPwbBZFjjGgGUA6NLw09EwE0CqkOc4q9oUmW1yo/edit?usp=sharing"",""อุทัยธานี!L354"")"),320488)</f>
        <v>320488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IFERROR(__xludf.DUMMYFUNCTION("IMPORTRANGE(""https://docs.google.com/spreadsheets/d/11923uPwbBZFjjGgGUA6NLw09EwE0CqkOc4q9oUmW1yo/edit?usp=sharing"",""อุทัยธานี!M354"")"),55590)</f>
        <v>55590</v>
      </c>
      <c r="O459" s="168">
        <f t="shared" ca="1" si="116"/>
        <v>17.345423229574898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IFERROR(__xludf.DUMMYFUNCTION("IMPORTRANGE(""https://docs.google.com/spreadsheets/d/11923uPwbBZFjjGgGUA6NLw09EwE0CqkOc4q9oUmW1yo/edit?usp=sharing"",""อุทัยธานี!M358"")"),55590)</f>
        <v>55590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IFERROR(__xludf.DUMMYFUNCTION("IMPORTRANGE(""https://docs.google.com/spreadsheets/d/11923uPwbBZFjjGgGUA6NLw09EwE0CqkOc4q9oUmW1yo/edit?usp=sharing"",""อุทัยธานี!J378"")"),17805)</f>
        <v>17805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IFERROR(__xludf.DUMMYFUNCTION("IMPORTRANGE(""https://docs.google.com/spreadsheets/d/11923uPwbBZFjjGgGUA6NLw09EwE0CqkOc4q9oUmW1yo/edit?usp=sharing"",""อุทัยธานี!J379"")"),2124)</f>
        <v>2124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IFERROR(__xludf.DUMMYFUNCTION("IMPORTRANGE(""https://docs.google.com/spreadsheets/d/11923uPwbBZFjjGgGUA6NLw09EwE0CqkOc4q9oUmW1yo/edit?usp=sharing"",""อุทัยธานี!J380"")"),5029)</f>
        <v>5029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IFERROR(__xludf.DUMMYFUNCTION("IMPORTRANGE(""https://docs.google.com/spreadsheets/d/11923uPwbBZFjjGgGUA6NLw09EwE0CqkOc4q9oUmW1yo/edit?usp=sharing"",""อุทัยธานี!J381"")"),347)</f>
        <v>347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IFERROR(__xludf.DUMMYFUNCTION("IMPORTRANGE(""https://docs.google.com/spreadsheets/d/11923uPwbBZFjjGgGUA6NLw09EwE0CqkOc4q9oUmW1yo/edit?usp=sharing"",""อุทัยธานี!J382"")"),1200)</f>
        <v>1200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IFERROR(__xludf.DUMMYFUNCTION("IMPORTRANGE(""https://docs.google.com/spreadsheets/d/11923uPwbBZFjjGgGUA6NLw09EwE0CqkOc4q9oUmW1yo/edit?usp=sharing"",""อุทัยธานี!J383"")"),129)</f>
        <v>129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IFERROR(__xludf.DUMMYFUNCTION("IMPORTRANGE(""https://docs.google.com/spreadsheets/d/11923uPwbBZFjjGgGUA6NLw09EwE0CqkOc4q9oUmW1yo/edit?usp=sharing"",""อุทัยธานี!J384"")"),1102)</f>
        <v>1102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IFERROR(__xludf.DUMMYFUNCTION("IMPORTRANGE(""https://docs.google.com/spreadsheets/d/11923uPwbBZFjjGgGUA6NLw09EwE0CqkOc4q9oUmW1yo/edit?usp=sharing"",""อุทัยธานี!J385"")"),118)</f>
        <v>118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IFERROR(__xludf.DUMMYFUNCTION("IMPORTRANGE(""https://docs.google.com/spreadsheets/d/11923uPwbBZFjjGgGUA6NLw09EwE0CqkOc4q9oUmW1yo/edit?usp=sharing"",""อุทัยธานี!J392"")"),1787)</f>
        <v>1787</v>
      </c>
      <c r="K497" s="444">
        <f t="shared" ca="1" si="117"/>
        <v>24.237081242370813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IFERROR(__xludf.DUMMYFUNCTION("IMPORTRANGE(""https://docs.google.com/spreadsheets/d/11923uPwbBZFjjGgGUA6NLw09EwE0CqkOc4q9oUmW1yo/edit?usp=sharing"",""อุทัยธานี!J393"")"),1787)</f>
        <v>1787</v>
      </c>
      <c r="K498" s="163">
        <f t="shared" ca="1" si="117"/>
        <v>24.237081242370813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IFERROR(__xludf.DUMMYFUNCTION("IMPORTRANGE(""https://docs.google.com/spreadsheets/d/11923uPwbBZFjjGgGUA6NLw09EwE0CqkOc4q9oUmW1yo/edit?usp=sharing"",""อุทัยธานี!J394"")"),107)</f>
        <v>107</v>
      </c>
      <c r="K499" s="201">
        <f t="shared" ca="1" si="117"/>
        <v>25.970873786407768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IFERROR(__xludf.DUMMYFUNCTION("IMPORTRANGE(""https://docs.google.com/spreadsheets/d/11923uPwbBZFjjGgGUA6NLw09EwE0CqkOc4q9oUmW1yo/edit?usp=sharing"",""อุทัยธานี!J395"")"),1676)</f>
        <v>1676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IFERROR(__xludf.DUMMYFUNCTION("IMPORTRANGE(""https://docs.google.com/spreadsheets/d/11923uPwbBZFjjGgGUA6NLw09EwE0CqkOc4q9oUmW1yo/edit?usp=sharing"",""อุทัยธานี!J396"")"),99)</f>
        <v>99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IFERROR(__xludf.DUMMYFUNCTION("IMPORTRANGE(""https://docs.google.com/spreadsheets/d/11923uPwbBZFjjGgGUA6NLw09EwE0CqkOc4q9oUmW1yo/edit?usp=sharing"",""อุทัยธานี!J397"")"),1213)</f>
        <v>1213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IFERROR(__xludf.DUMMYFUNCTION("IMPORTRANGE(""https://docs.google.com/spreadsheets/d/11923uPwbBZFjjGgGUA6NLw09EwE0CqkOc4q9oUmW1yo/edit?usp=sharing"",""อุทัยธานี!J398"")"),71)</f>
        <v>71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IFERROR(__xludf.DUMMYFUNCTION("IMPORTRANGE(""https://docs.google.com/spreadsheets/d/11923uPwbBZFjjGgGUA6NLw09EwE0CqkOc4q9oUmW1yo/edit?usp=sharing"",""อุทัยธานี!J399"")"),437)</f>
        <v>437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IFERROR(__xludf.DUMMYFUNCTION("IMPORTRANGE(""https://docs.google.com/spreadsheets/d/11923uPwbBZFjjGgGUA6NLw09EwE0CqkOc4q9oUmW1yo/edit?usp=sharing"",""อุทัยธานี!J400"")"),27)</f>
        <v>27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IFERROR(__xludf.DUMMYFUNCTION("IMPORTRANGE(""https://docs.google.com/spreadsheets/d/11923uPwbBZFjjGgGUA6NLw09EwE0CqkOc4q9oUmW1yo/edit?usp=sharing"",""อุทัยธานี!J403"")"),111)</f>
        <v>111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IFERROR(__xludf.DUMMYFUNCTION("IMPORTRANGE(""https://docs.google.com/spreadsheets/d/11923uPwbBZFjjGgGUA6NLw09EwE0CqkOc4q9oUmW1yo/edit?usp=sharing"",""อุทัยธานี!J404"")"),8)</f>
        <v>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IFERROR(__xludf.DUMMYFUNCTION("IMPORTRANGE(""https://docs.google.com/spreadsheets/d/11923uPwbBZFjjGgGUA6NLw09EwE0CqkOc4q9oUmW1yo/edit?usp=sharing"",""อุทัยธานี!J405"")"),53)</f>
        <v>53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IFERROR(__xludf.DUMMYFUNCTION("IMPORTRANGE(""https://docs.google.com/spreadsheets/d/11923uPwbBZFjjGgGUA6NLw09EwE0CqkOc4q9oUmW1yo/edit?usp=sharing"",""อุทัยธานี!J407"")"),58)</f>
        <v>58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IFERROR(__xludf.DUMMYFUNCTION("IMPORTRANGE(""https://docs.google.com/spreadsheets/d/11923uPwbBZFjjGgGUA6NLw09EwE0CqkOc4q9oUmW1yo/edit?usp=sharing"",""อุทัยธานี!J408"")"),4)</f>
        <v>4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IFERROR(__xludf.DUMMYFUNCTION("IMPORTRANGE(""https://docs.google.com/spreadsheets/d/11923uPwbBZFjjGgGUA6NLw09EwE0CqkOc4q9oUmW1yo/edit?usp=sharing"",""อุทัยธานี!J420"")"),843)</f>
        <v>843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IFERROR(__xludf.DUMMYFUNCTION("IMPORTRANGE(""https://docs.google.com/spreadsheets/d/11923uPwbBZFjjGgGUA6NLw09EwE0CqkOc4q9oUmW1yo/edit?usp=sharing"",""อุทัยธานี!J421"")"),80)</f>
        <v>80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IFERROR(__xludf.DUMMYFUNCTION("IMPORTRANGE(""https://docs.google.com/spreadsheets/d/11923uPwbBZFjjGgGUA6NLw09EwE0CqkOc4q9oUmW1yo/edit?usp=sharing"",""อุทัยธานี!J422"")"),138)</f>
        <v>138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IFERROR(__xludf.DUMMYFUNCTION("IMPORTRANGE(""https://docs.google.com/spreadsheets/d/11923uPwbBZFjjGgGUA6NLw09EwE0CqkOc4q9oUmW1yo/edit?usp=sharing"",""อุทัยธานี!J423"")"),14)</f>
        <v>14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IFERROR(__xludf.DUMMYFUNCTION("IMPORTRANGE(""https://docs.google.com/spreadsheets/d/11923uPwbBZFjjGgGUA6NLw09EwE0CqkOc4q9oUmW1yo/edit?usp=sharing"",""อุทัยธานี!J424"")"),705)</f>
        <v>705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IFERROR(__xludf.DUMMYFUNCTION("IMPORTRANGE(""https://docs.google.com/spreadsheets/d/11923uPwbBZFjjGgGUA6NLw09EwE0CqkOc4q9oUmW1yo/edit?usp=sharing"",""อุทัยธานี!J425"")"),66)</f>
        <v>66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IFERROR(__xludf.DUMMYFUNCTION("IMPORTRANGE(""https://docs.google.com/spreadsheets/d/11923uPwbBZFjjGgGUA6NLw09EwE0CqkOc4q9oUmW1yo/edit?usp=sharing"",""อุทัยธานี!M428"")"),30290)</f>
        <v>30290</v>
      </c>
      <c r="O533" s="411">
        <f t="shared" ref="O533:O537" ca="1" si="118">+IF(L533&gt;0,N533*100/L533,0)</f>
        <v>84.04550499445061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IFERROR(__xludf.DUMMYFUNCTION("IMPORTRANGE(""https://docs.google.com/spreadsheets/d/11923uPwbBZFjjGgGUA6NLw09EwE0CqkOc4q9oUmW1yo/edit?usp=sharing"",""อุทัยธานี!J459"")"),6245)</f>
        <v>6245</v>
      </c>
      <c r="K564" s="371">
        <f ca="1">IF(I564&gt;0,J564*100/I564,0)</f>
        <v>402.90322580645159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IFERROR(__xludf.DUMMYFUNCTION("IMPORTRANGE(""https://docs.google.com/spreadsheets/d/11923uPwbBZFjjGgGUA6NLw09EwE0CqkOc4q9oUmW1yo/edit?usp=sharing"",""อุทัยธานี!M459"")"),96407.33)</f>
        <v>96407.33</v>
      </c>
      <c r="O564" s="372">
        <f t="shared" ref="O564:O568" ca="1" si="122">+IF(L564&gt;0,N564*100/L564,0)</f>
        <v>70.432006136762126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IFERROR(__xludf.DUMMYFUNCTION("IMPORTRANGE(""https://docs.google.com/spreadsheets/d/11923uPwbBZFjjGgGUA6NLw09EwE0CqkOc4q9oUmW1yo/edit?usp=sharing"",""อุทัยธานี!M461"")"),96407.33)</f>
        <v>96407.33</v>
      </c>
      <c r="O566" s="168">
        <f t="shared" ca="1" si="122"/>
        <v>70.432006136762126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IFERROR(__xludf.DUMMYFUNCTION("IMPORTRANGE(""https://docs.google.com/spreadsheets/d/11923uPwbBZFjjGgGUA6NLw09EwE0CqkOc4q9oUmW1yo/edit?usp=sharing"",""อุทัยธานี!M463"")"),96407.33)</f>
        <v>96407.33</v>
      </c>
      <c r="O568" s="168">
        <f t="shared" ca="1" si="122"/>
        <v>70.432006136762126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IFERROR(__xludf.DUMMYFUNCTION("IMPORTRANGE(""https://docs.google.com/spreadsheets/d/11923uPwbBZFjjGgGUA6NLw09EwE0CqkOc4q9oUmW1yo/edit?usp=sharing"",""อุทัยธานี!M466"")"),69765.33)</f>
        <v>69765.33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IFERROR(__xludf.DUMMYFUNCTION("IMPORTRANGE(""https://docs.google.com/spreadsheets/d/11923uPwbBZFjjGgGUA6NLw09EwE0CqkOc4q9oUmW1yo/edit?usp=sharing"",""อุทัยธานี!M467"")"),26642)</f>
        <v>26642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IFERROR(__xludf.DUMMYFUNCTION("IMPORTRANGE(""https://docs.google.com/spreadsheets/d/11923uPwbBZFjjGgGUA6NLw09EwE0CqkOc4q9oUmW1yo/edit?usp=sharing"",""อุทัยธานี!J468"")"),6245)</f>
        <v>6245</v>
      </c>
      <c r="K573" s="201">
        <f ca="1">IF(I573&gt;0,J573*100/I573,0)</f>
        <v>402.90322580645159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IFERROR(__xludf.DUMMYFUNCTION("IMPORTRANGE(""https://docs.google.com/spreadsheets/d/11923uPwbBZFjjGgGUA6NLw09EwE0CqkOc4q9oUmW1yo/edit?usp=sharing"",""อุทัยธานี!J471"")"),633)</f>
        <v>633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IFERROR(__xludf.DUMMYFUNCTION("IMPORTRANGE(""https://docs.google.com/spreadsheets/d/11923uPwbBZFjjGgGUA6NLw09EwE0CqkOc4q9oUmW1yo/edit?usp=sharing"",""อุทัยธานี!J472"")"),5612)</f>
        <v>5612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IFERROR(__xludf.DUMMYFUNCTION("IMPORTRANGE(""https://docs.google.com/spreadsheets/d/11923uPwbBZFjjGgGUA6NLw09EwE0CqkOc4q9oUmW1yo/edit?usp=sharing"",""อุทัยธานี!J475"")"),10)</f>
        <v>10</v>
      </c>
      <c r="K580" s="371">
        <f ca="1">IF(I580&gt;0,J580*100/I580,0)</f>
        <v>142.85714285714286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IFERROR(__xludf.DUMMYFUNCTION("IMPORTRANGE(""https://docs.google.com/spreadsheets/d/11923uPwbBZFjjGgGUA6NLw09EwE0CqkOc4q9oUmW1yo/edit?usp=sharing"",""อุทัยธานี!M475"")"),16070)</f>
        <v>16070</v>
      </c>
      <c r="O580" s="372">
        <f t="shared" ref="O580:O584" ca="1" si="124">+IF(L580&gt;0,N580*100/L580,0)</f>
        <v>14.366557300839464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IFERROR(__xludf.DUMMYFUNCTION("IMPORTRANGE(""https://docs.google.com/spreadsheets/d/11923uPwbBZFjjGgGUA6NLw09EwE0CqkOc4q9oUmW1yo/edit?usp=sharing"",""อุทัยธานี!M477"")"),16070)</f>
        <v>16070</v>
      </c>
      <c r="O582" s="168">
        <f t="shared" ca="1" si="124"/>
        <v>14.366557300839464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IFERROR(__xludf.DUMMYFUNCTION("IMPORTRANGE(""https://docs.google.com/spreadsheets/d/11923uPwbBZFjjGgGUA6NLw09EwE0CqkOc4q9oUmW1yo/edit?usp=sharing"",""อุทัยธานี!M479"")"),16070)</f>
        <v>16070</v>
      </c>
      <c r="O584" s="168">
        <f t="shared" ca="1" si="124"/>
        <v>14.366557300839464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IFERROR(__xludf.DUMMYFUNCTION("IMPORTRANGE(""https://docs.google.com/spreadsheets/d/11923uPwbBZFjjGgGUA6NLw09EwE0CqkOc4q9oUmW1yo/edit?usp=sharing"",""อุทัยธานี!M483"")"),16070)</f>
        <v>16070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IFERROR(__xludf.DUMMYFUNCTION("IMPORTRANGE(""https://docs.google.com/spreadsheets/d/11923uPwbBZFjjGgGUA6NLw09EwE0CqkOc4q9oUmW1yo/edit?usp=sharing"",""อุทัยธานี!J484"")"),9)</f>
        <v>9</v>
      </c>
      <c r="K589" s="163">
        <f t="shared" ref="K589:K596" ca="1" si="125">IF(I589&gt;0,J589*100/I589,0)</f>
        <v>128.57142857142858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IFERROR(__xludf.DUMMYFUNCTION("IMPORTRANGE(""https://docs.google.com/spreadsheets/d/11923uPwbBZFjjGgGUA6NLw09EwE0CqkOc4q9oUmW1yo/edit?usp=sharing"",""อุทัยธานี!J485"")"),8.36)</f>
        <v>8.36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IFERROR(__xludf.DUMMYFUNCTION("IMPORTRANGE(""https://docs.google.com/spreadsheets/d/11923uPwbBZFjjGgGUA6NLw09EwE0CqkOc4q9oUmW1yo/edit?usp=sharing"",""อุทัยธานี!J486"")"),14)</f>
        <v>14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IFERROR(__xludf.DUMMYFUNCTION("IMPORTRANGE(""https://docs.google.com/spreadsheets/d/11923uPwbBZFjjGgGUA6NLw09EwE0CqkOc4q9oUmW1yo/edit?usp=sharing"",""อุทัยธานี!J487"")"),13.05)</f>
        <v>13.05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IFERROR(__xludf.DUMMYFUNCTION("IMPORTRANGE(""https://docs.google.com/spreadsheets/d/11923uPwbBZFjjGgGUA6NLw09EwE0CqkOc4q9oUmW1yo/edit?usp=sharing"",""อุทัยธานี!J490"")"),10)</f>
        <v>10</v>
      </c>
      <c r="K595" s="163">
        <f t="shared" ca="1" si="125"/>
        <v>142.85714285714286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IFERROR(__xludf.DUMMYFUNCTION("IMPORTRANGE(""https://docs.google.com/spreadsheets/d/11923uPwbBZFjjGgGUA6NLw09EwE0CqkOc4q9oUmW1yo/edit?usp=sharing"",""อุทัยธานี!J491"")"),9.01)</f>
        <v>9.01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8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IFERROR(__xludf.DUMMYFUNCTION("IMPORTRANGE(""https://docs.google.com/spreadsheets/d/11923uPwbBZFjjGgGUA6NLw09EwE0CqkOc4q9oUmW1yo/edit?usp=sharing"",""อุทัยธานี!L492"")"),8550)</f>
        <v>8550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67.836257309941516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IFERROR(__xludf.DUMMYFUNCTION("IMPORTRANGE(""https://docs.google.com/spreadsheets/d/11923uPwbBZFjjGgGUA6NLw09EwE0CqkOc4q9oUmW1yo/edit?usp=sharing"",""อุทัยธานี!J523"")"),1522272.57)</f>
        <v>1522272.57</v>
      </c>
      <c r="K628" s="342">
        <f t="shared" ref="K628:K635" ca="1" si="129">IF(I628&gt;0,J628*100/I628,0)</f>
        <v>93.89092322888186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IFERROR(__xludf.DUMMYFUNCTION("IMPORTRANGE(""https://docs.google.com/spreadsheets/d/11923uPwbBZFjjGgGUA6NLw09EwE0CqkOc4q9oUmW1yo/edit?usp=sharing"",""อุทัยธานี!J524"")"),109)</f>
        <v>109</v>
      </c>
      <c r="K629" s="342">
        <f t="shared" ca="1" si="129"/>
        <v>100.92592592592592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IFERROR(__xludf.DUMMYFUNCTION("IMPORTRANGE(""https://docs.google.com/spreadsheets/d/11923uPwbBZFjjGgGUA6NLw09EwE0CqkOc4q9oUmW1yo/edit?usp=sharing"",""อุทัยธานี!J525"")"),2518996.24)</f>
        <v>2518996.2400000002</v>
      </c>
      <c r="K630" s="342">
        <f t="shared" ca="1" si="129"/>
        <v>20.487226200277089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IFERROR(__xludf.DUMMYFUNCTION("IMPORTRANGE(""https://docs.google.com/spreadsheets/d/11923uPwbBZFjjGgGUA6NLw09EwE0CqkOc4q9oUmW1yo/edit?usp=sharing"",""อุทัยธานี!J526"")"),432)</f>
        <v>432</v>
      </c>
      <c r="K631" s="342">
        <f t="shared" ca="1" si="129"/>
        <v>63.716814159292035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IFERROR(__xludf.DUMMYFUNCTION("IMPORTRANGE(""https://docs.google.com/spreadsheets/d/11923uPwbBZFjjGgGUA6NLw09EwE0CqkOc4q9oUmW1yo/edit?usp=sharing"",""อุทัยธานี!J527"")"),1641040.46)</f>
        <v>1641040.46</v>
      </c>
      <c r="K632" s="342">
        <f t="shared" ca="1" si="129"/>
        <v>41.220035132820975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IFERROR(__xludf.DUMMYFUNCTION("IMPORTRANGE(""https://docs.google.com/spreadsheets/d/11923uPwbBZFjjGgGUA6NLw09EwE0CqkOc4q9oUmW1yo/edit?usp=sharing"",""อุทัยธานี!J528"")"),186)</f>
        <v>186</v>
      </c>
      <c r="K633" s="342">
        <f t="shared" ca="1" si="129"/>
        <v>75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IFERROR(__xludf.DUMMYFUNCTION("IMPORTRANGE(""https://docs.google.com/spreadsheets/d/11923uPwbBZFjjGgGUA6NLw09EwE0CqkOc4q9oUmW1yo/edit?usp=sharing"",""อุทัยธานี!I530"")"),96)</f>
        <v>96</v>
      </c>
      <c r="J635" s="505">
        <f ca="1">IFERROR(__xludf.DUMMYFUNCTION("IMPORTRANGE(""https://docs.google.com/spreadsheets/d/11923uPwbBZFjjGgGUA6NLw09EwE0CqkOc4q9oUmW1yo/edit?usp=sharing"",""อุทัยธานี!J530"")"),100)</f>
        <v>100</v>
      </c>
      <c r="K635" s="487">
        <f t="shared" ca="1" si="129"/>
        <v>104.16666666666667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38160</v>
      </c>
      <c r="M636" s="511"/>
      <c r="N636" s="510">
        <f ca="1">SUM(N637:N638)</f>
        <v>1656</v>
      </c>
      <c r="O636" s="510">
        <f t="shared" ref="O636:O640" ca="1" si="130">+IF(L636&gt;0,N636*100/L636,0)</f>
        <v>4.3396226415094343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38160</v>
      </c>
      <c r="M638" s="521"/>
      <c r="N638" s="522">
        <f ca="1">SUM(N639:N640)</f>
        <v>1656</v>
      </c>
      <c r="O638" s="522">
        <f t="shared" ca="1" si="130"/>
        <v>4.3396226415094343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38160</v>
      </c>
      <c r="M640" s="521"/>
      <c r="N640" s="522">
        <f ca="1">SUM(N641:N644)</f>
        <v>1656</v>
      </c>
      <c r="O640" s="522">
        <f t="shared" ca="1" si="130"/>
        <v>4.3396226415094343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1656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IFERROR(__xludf.DUMMYFUNCTION("IMPORTRANGE(""https://docs.google.com/spreadsheets/d/11923uPwbBZFjjGgGUA6NLw09EwE0CqkOc4q9oUmW1yo/edit?usp=sharing"",""อุทัยธานี!J541"")"),0)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IFERROR(__xludf.DUMMYFUNCTION("IMPORTRANGE(""https://docs.google.com/spreadsheets/d/11923uPwbBZFjjGgGUA6NLw09EwE0CqkOc4q9oUmW1yo/edit?usp=sharing"",""อุทัยธานี!J542"")"),0)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IFERROR(__xludf.DUMMYFUNCTION("IMPORTRANGE(""https://docs.google.com/spreadsheets/d/11923uPwbBZFjjGgGUA6NLw09EwE0CqkOc4q9oUmW1yo/edit?usp=sharing"",""อุทัยธานี!I543"")"),0)</f>
        <v>0</v>
      </c>
      <c r="J648" s="536">
        <f ca="1">IFERROR(__xludf.DUMMYFUNCTION("IMPORTRANGE(""https://docs.google.com/spreadsheets/d/11923uPwbBZFjjGgGUA6NLw09EwE0CqkOc4q9oUmW1yo/edit?usp=sharing"",""อุทัยธานี!J543"")"),0)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IFERROR(__xludf.DUMMYFUNCTION("IMPORTRANGE(""https://docs.google.com/spreadsheets/d/11923uPwbBZFjjGgGUA6NLw09EwE0CqkOc4q9oUmW1yo/edit?usp=sharing"",""อุทัยธานี!L543"")"),0)</f>
        <v>0</v>
      </c>
      <c r="M648" s="521"/>
      <c r="N648" s="538">
        <f ca="1">IFERROR(__xludf.DUMMYFUNCTION("IMPORTRANGE(""https://docs.google.com/spreadsheets/d/11923uPwbBZFjjGgGUA6NLw09EwE0CqkOc4q9oUmW1yo/edit?usp=sharing"",""อุทัยธานี!M543"")"),0)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IFERROR(__xludf.DUMMYFUNCTION("IMPORTRANGE(""https://docs.google.com/spreadsheets/d/11923uPwbBZFjjGgGUA6NLw09EwE0CqkOc4q9oUmW1yo/edit?usp=sharing"",""อุทัยธานี!I544"")"),0)</f>
        <v>0</v>
      </c>
      <c r="J649" s="536">
        <f ca="1">IFERROR(__xludf.DUMMYFUNCTION("IMPORTRANGE(""https://docs.google.com/spreadsheets/d/11923uPwbBZFjjGgGUA6NLw09EwE0CqkOc4q9oUmW1yo/edit?usp=sharing"",""อุทัยธานี!J544"")"),0)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IFERROR(__xludf.DUMMYFUNCTION("IMPORTRANGE(""https://docs.google.com/spreadsheets/d/11923uPwbBZFjjGgGUA6NLw09EwE0CqkOc4q9oUmW1yo/edit?usp=sharing"",""อุทัยธานี!L544"")"),0)</f>
        <v>0</v>
      </c>
      <c r="M649" s="521"/>
      <c r="N649" s="538">
        <f ca="1">IFERROR(__xludf.DUMMYFUNCTION("IMPORTRANGE(""https://docs.google.com/spreadsheets/d/11923uPwbBZFjjGgGUA6NLw09EwE0CqkOc4q9oUmW1yo/edit?usp=sharing"",""อุทัยธานี!M544"")"),0)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IFERROR(__xludf.DUMMYFUNCTION("IMPORTRANGE(""https://docs.google.com/spreadsheets/d/11923uPwbBZFjjGgGUA6NLw09EwE0CqkOc4q9oUmW1yo/edit?usp=sharing"",""อุทัยธานี!I545"")"),115)</f>
        <v>115</v>
      </c>
      <c r="J650" s="536">
        <f ca="1">IFERROR(__xludf.DUMMYFUNCTION("IMPORTRANGE(""https://docs.google.com/spreadsheets/d/11923uPwbBZFjjGgGUA6NLw09EwE0CqkOc4q9oUmW1yo/edit?usp=sharing"",""อุทัยธานี!J545"")"),55.75)</f>
        <v>55.75</v>
      </c>
      <c r="K650" s="537">
        <f t="shared" ca="1" si="131"/>
        <v>48.478260869565219</v>
      </c>
      <c r="L650" s="522">
        <f ca="1">IFERROR(__xludf.DUMMYFUNCTION("IMPORTRANGE(""https://docs.google.com/spreadsheets/d/11923uPwbBZFjjGgGUA6NLw09EwE0CqkOc4q9oUmW1yo/edit?usp=sharing"",""อุทัยธานี!L545"")"),575)</f>
        <v>575</v>
      </c>
      <c r="M650" s="521"/>
      <c r="N650" s="538">
        <f ca="1">IFERROR(__xludf.DUMMYFUNCTION("IMPORTRANGE(""https://docs.google.com/spreadsheets/d/11923uPwbBZFjjGgGUA6NLw09EwE0CqkOc4q9oUmW1yo/edit?usp=sharing"",""อุทัยธานี!M545"")"),0)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IFERROR(__xludf.DUMMYFUNCTION("IMPORTRANGE(""https://docs.google.com/spreadsheets/d/11923uPwbBZFjjGgGUA6NLw09EwE0CqkOc4q9oUmW1yo/edit?usp=sharing"",""อุทัยธานี!I546"")"),185)</f>
        <v>185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IFERROR(__xludf.DUMMYFUNCTION("IMPORTRANGE(""https://docs.google.com/spreadsheets/d/11923uPwbBZFjjGgGUA6NLw09EwE0CqkOc4q9oUmW1yo/edit?usp=sharing"",""อุทัยธานี!L546"")"),4625)</f>
        <v>4625</v>
      </c>
      <c r="M651" s="521"/>
      <c r="N651" s="538">
        <f ca="1">IFERROR(__xludf.DUMMYFUNCTION("IMPORTRANGE(""https://docs.google.com/spreadsheets/d/11923uPwbBZFjjGgGUA6NLw09EwE0CqkOc4q9oUmW1yo/edit?usp=sharing"",""อุทัยธานี!M546"")"),0)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IFERROR(__xludf.DUMMYFUNCTION("IMPORTRANGE(""https://docs.google.com/spreadsheets/d/11923uPwbBZFjjGgGUA6NLw09EwE0CqkOc4q9oUmW1yo/edit?usp=sharing"",""อุทัยธานี!J547"")"),0)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IFERROR(__xludf.DUMMYFUNCTION("IMPORTRANGE(""https://docs.google.com/spreadsheets/d/11923uPwbBZFjjGgGUA6NLw09EwE0CqkOc4q9oUmW1yo/edit?usp=sharing"",""อุทัยธานี!J548"")"),0)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IFERROR(__xludf.DUMMYFUNCTION("IMPORTRANGE(""https://docs.google.com/spreadsheets/d/11923uPwbBZFjjGgGUA6NLw09EwE0CqkOc4q9oUmW1yo/edit?usp=sharing"",""อุทัยธานี!J550"")"),0)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IFERROR(__xludf.DUMMYFUNCTION("IMPORTRANGE(""https://docs.google.com/spreadsheets/d/11923uPwbBZFjjGgGUA6NLw09EwE0CqkOc4q9oUmW1yo/edit?usp=sharing"",""อุทัยธานี!J551"")"),0)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IFERROR(__xludf.DUMMYFUNCTION("IMPORTRANGE(""https://docs.google.com/spreadsheets/d/11923uPwbBZFjjGgGUA6NLw09EwE0CqkOc4q9oUmW1yo/edit?usp=sharing"",""อุทัยธานี!J552"")"),0)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IFERROR(__xludf.DUMMYFUNCTION("IMPORTRANGE(""https://docs.google.com/spreadsheets/d/11923uPwbBZFjjGgGUA6NLw09EwE0CqkOc4q9oUmW1yo/edit?usp=sharing"",""อุทัยธานี!J553"")"),0)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IFERROR(__xludf.DUMMYFUNCTION("IMPORTRANGE(""https://docs.google.com/spreadsheets/d/11923uPwbBZFjjGgGUA6NLw09EwE0CqkOc4q9oUmW1yo/edit?usp=sharing"",""อุทัยธานี!J554"")"),0)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IFERROR(__xludf.DUMMYFUNCTION("IMPORTRANGE(""https://docs.google.com/spreadsheets/d/11923uPwbBZFjjGgGUA6NLw09EwE0CqkOc4q9oUmW1yo/edit?usp=sharing"",""อุทัยธานี!J555"")"),0)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IFERROR(__xludf.DUMMYFUNCTION("IMPORTRANGE(""https://docs.google.com/spreadsheets/d/11923uPwbBZFjjGgGUA6NLw09EwE0CqkOc4q9oUmW1yo/edit?usp=sharing"",""อุทัยธานี!J556"")"),29)</f>
        <v>29</v>
      </c>
      <c r="K661" s="537"/>
      <c r="L661" s="522">
        <f ca="1">IFERROR(__xludf.DUMMYFUNCTION("IMPORTRANGE(""https://docs.google.com/spreadsheets/d/11923uPwbBZFjjGgGUA6NLw09EwE0CqkOc4q9oUmW1yo/edit?usp=sharing"",""อุทัยธานี!L556"")"),19920)</f>
        <v>19920</v>
      </c>
      <c r="M661" s="521"/>
      <c r="N661" s="538">
        <f ca="1">IFERROR(__xludf.DUMMYFUNCTION("IMPORTRANGE(""https://docs.google.com/spreadsheets/d/11923uPwbBZFjjGgGUA6NLw09EwE0CqkOc4q9oUmW1yo/edit?usp=sharing"",""อุทัยธานี!M556"")"),1656)</f>
        <v>1656</v>
      </c>
      <c r="O661" s="537">
        <f ca="1">IF(L661&gt;0,N661*100/L661,0)</f>
        <v>8.3132530120481931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IFERROR(__xludf.DUMMYFUNCTION("IMPORTRANGE(""https://docs.google.com/spreadsheets/d/11923uPwbBZFjjGgGUA6NLw09EwE0CqkOc4q9oUmW1yo/edit?usp=sharing"",""อุทัยธานี!J557"")"),30)</f>
        <v>30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IFERROR(__xludf.DUMMYFUNCTION("IMPORTRANGE(""https://docs.google.com/spreadsheets/d/11923uPwbBZFjjGgGUA6NLw09EwE0CqkOc4q9oUmW1yo/edit?usp=sharing"",""อุทัยธานี!I558"")"),498)</f>
        <v>498</v>
      </c>
      <c r="J663" s="536">
        <f ca="1">IFERROR(__xludf.DUMMYFUNCTION("IMPORTRANGE(""https://docs.google.com/spreadsheets/d/11923uPwbBZFjjGgGUA6NLw09EwE0CqkOc4q9oUmW1yo/edit?usp=sharing"",""อุทัยธานี!J558"")"),503.11)</f>
        <v>503.11</v>
      </c>
      <c r="K663" s="537">
        <f ca="1">IF(I663&gt;0,J663*100/I663,0)</f>
        <v>101.02610441767068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IFERROR(__xludf.DUMMYFUNCTION("IMPORTRANGE(""https://docs.google.com/spreadsheets/d/11923uPwbBZFjjGgGUA6NLw09EwE0CqkOc4q9oUmW1yo/edit?usp=sharing"",""อุทัยธานี!I560"")"),6)</f>
        <v>6</v>
      </c>
      <c r="J665" s="536">
        <f ca="1">IFERROR(__xludf.DUMMYFUNCTION("IMPORTRANGE(""https://docs.google.com/spreadsheets/d/11923uPwbBZFjjGgGUA6NLw09EwE0CqkOc4q9oUmW1yo/edit?usp=sharing"",""อุทัยธานี!J560"")"),8)</f>
        <v>8</v>
      </c>
      <c r="K665" s="537">
        <f ca="1">IF(I665&gt;0,J665*100/I665,0)</f>
        <v>133.33333333333334</v>
      </c>
      <c r="L665" s="522">
        <f ca="1">IFERROR(__xludf.DUMMYFUNCTION("IMPORTRANGE(""https://docs.google.com/spreadsheets/d/11923uPwbBZFjjGgGUA6NLw09EwE0CqkOc4q9oUmW1yo/edit?usp=sharing"",""อุทัยธานี!L560"")"),720)</f>
        <v>720</v>
      </c>
      <c r="M665" s="521"/>
      <c r="N665" s="538">
        <f ca="1">IFERROR(__xludf.DUMMYFUNCTION("IMPORTRANGE(""https://docs.google.com/spreadsheets/d/11923uPwbBZFjjGgGUA6NLw09EwE0CqkOc4q9oUmW1yo/edit?usp=sharing"",""อุทัยธานี!M560"")"),0)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IFERROR(__xludf.DUMMYFUNCTION("IMPORTRANGE(""https://docs.google.com/spreadsheets/d/11923uPwbBZFjjGgGUA6NLw09EwE0CqkOc4q9oUmW1yo/edit?usp=sharing"",""อุทัยธานี!J561"")"),8)</f>
        <v>8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IFERROR(__xludf.DUMMYFUNCTION("IMPORTRANGE(""https://docs.google.com/spreadsheets/d/11923uPwbBZFjjGgGUA6NLw09EwE0CqkOc4q9oUmW1yo/edit?usp=sharing"",""อุทัยธานี!J562"")"),179.88)</f>
        <v>179.88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IFERROR(__xludf.DUMMYFUNCTION("IMPORTRANGE(""https://docs.google.com/spreadsheets/d/11923uPwbBZFjjGgGUA6NLw09EwE0CqkOc4q9oUmW1yo/edit?usp=sharing"",""อุทัยธานี!I563"")"),6)</f>
        <v>6</v>
      </c>
      <c r="J668" s="536">
        <f ca="1">IFERROR(__xludf.DUMMYFUNCTION("IMPORTRANGE(""https://docs.google.com/spreadsheets/d/11923uPwbBZFjjGgGUA6NLw09EwE0CqkOc4q9oUmW1yo/edit?usp=sharing"",""อุทัยธานี!J563"")"),0)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IFERROR(__xludf.DUMMYFUNCTION("IMPORTRANGE(""https://docs.google.com/spreadsheets/d/11923uPwbBZFjjGgGUA6NLw09EwE0CqkOc4q9oUmW1yo/edit?usp=sharing"",""อุทัยธานี!L563"")"),5280)</f>
        <v>5280</v>
      </c>
      <c r="M668" s="521"/>
      <c r="N668" s="538">
        <f ca="1">IFERROR(__xludf.DUMMYFUNCTION("IMPORTRANGE(""https://docs.google.com/spreadsheets/d/11923uPwbBZFjjGgGUA6NLw09EwE0CqkOc4q9oUmW1yo/edit?usp=sharing"",""อุทัยธานี!M563"")"),0)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IFERROR(__xludf.DUMMYFUNCTION("IMPORTRANGE(""https://docs.google.com/spreadsheets/d/11923uPwbBZFjjGgGUA6NLw09EwE0CqkOc4q9oUmW1yo/edit?usp=sharing"",""อุทัยธานี!J564"")"),0)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IFERROR(__xludf.DUMMYFUNCTION("IMPORTRANGE(""https://docs.google.com/spreadsheets/d/11923uPwbBZFjjGgGUA6NLw09EwE0CqkOc4q9oUmW1yo/edit?usp=sharing"",""อุทัยธานี!J565"")"),0)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IFERROR(__xludf.DUMMYFUNCTION("IMPORTRANGE(""https://docs.google.com/spreadsheets/d/11923uPwbBZFjjGgGUA6NLw09EwE0CqkOc4q9oUmW1yo/edit?usp=sharing"",""อุทัยธานี!I566"")"),88)</f>
        <v>88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IFERROR(__xludf.DUMMYFUNCTION("IMPORTRANGE(""https://docs.google.com/spreadsheets/d/11923uPwbBZFjjGgGUA6NLw09EwE0CqkOc4q9oUmW1yo/edit?usp=sharing"",""อุทัยธานี!L566"")"),7040)</f>
        <v>7040</v>
      </c>
      <c r="M671" s="521"/>
      <c r="N671" s="538">
        <f ca="1">IFERROR(__xludf.DUMMYFUNCTION("IMPORTRANGE(""https://docs.google.com/spreadsheets/d/11923uPwbBZFjjGgGUA6NLw09EwE0CqkOc4q9oUmW1yo/edit?usp=sharing"",""อุทัยธานี!M566"")"),0)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IFERROR(__xludf.DUMMYFUNCTION("IMPORTRANGE(""https://docs.google.com/spreadsheets/d/11923uPwbBZFjjGgGUA6NLw09EwE0CqkOc4q9oUmW1yo/edit?usp=sharing"",""อุทัยธานี!J567"")"),0)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IFERROR(__xludf.DUMMYFUNCTION("IMPORTRANGE(""https://docs.google.com/spreadsheets/d/11923uPwbBZFjjGgGUA6NLw09EwE0CqkOc4q9oUmW1yo/edit?usp=sharing"",""อุทัยธานี!J568"")"),0)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IFERROR(__xludf.DUMMYFUNCTION("IMPORTRANGE(""https://docs.google.com/spreadsheets/d/11923uPwbBZFjjGgGUA6NLw09EwE0CqkOc4q9oUmW1yo/edit?usp=sharing"",""อุทัยธานี!J569"")"),0)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IFERROR(__xludf.DUMMYFUNCTION("IMPORTRANGE(""https://docs.google.com/spreadsheets/d/11923uPwbBZFjjGgGUA6NLw09EwE0CqkOc4q9oUmW1yo/edit?usp=sharing"",""อุทัยธานี!J570"")"),0)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IFERROR(__xludf.DUMMYFUNCTION("IMPORTRANGE(""https://docs.google.com/spreadsheets/d/11923uPwbBZFjjGgGUA6NLw09EwE0CqkOc4q9oUmW1yo/edit?usp=sharing"",""อุทัยธานี!J571"")"),0)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IFERROR(__xludf.DUMMYFUNCTION("IMPORTRANGE(""https://docs.google.com/spreadsheets/d/11923uPwbBZFjjGgGUA6NLw09EwE0CqkOc4q9oUmW1yo/edit?usp=sharing"",""อุทัยธานี!J572"")"),0)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7521931</v>
      </c>
      <c r="M8" s="23">
        <f t="shared" ca="1" si="0"/>
        <v>3974173</v>
      </c>
      <c r="N8" s="23">
        <f t="shared" ca="1" si="0"/>
        <v>4248874.8099999987</v>
      </c>
      <c r="O8" s="22">
        <f t="shared" ref="O8:O16" ca="1" si="1">IF(L8&gt;0,N8*100/L8,0)</f>
        <v>56.486490104735061</v>
      </c>
      <c r="P8" s="22">
        <f t="shared" ref="P8:P16" ca="1" si="2">IF(M8&gt;0,N8*100/M8,0)</f>
        <v>106.91217543876421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7521931</v>
      </c>
      <c r="M10" s="30">
        <f t="shared" ca="1" si="4"/>
        <v>3974173</v>
      </c>
      <c r="N10" s="30">
        <f t="shared" ca="1" si="4"/>
        <v>4248874.8099999987</v>
      </c>
      <c r="O10" s="29">
        <f t="shared" ca="1" si="1"/>
        <v>56.486490104735061</v>
      </c>
      <c r="P10" s="29">
        <f t="shared" ca="1" si="2"/>
        <v>106.91217543876421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7521931</v>
      </c>
      <c r="M12" s="39">
        <f t="shared" ca="1" si="6"/>
        <v>3974173</v>
      </c>
      <c r="N12" s="39">
        <f t="shared" ca="1" si="6"/>
        <v>4248874.8099999987</v>
      </c>
      <c r="O12" s="39">
        <f t="shared" ca="1" si="1"/>
        <v>56.486490104735061</v>
      </c>
      <c r="P12" s="39">
        <f t="shared" ca="1" si="2"/>
        <v>106.91217543876421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2181000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5340931</v>
      </c>
      <c r="M14" s="39">
        <f t="shared" si="8"/>
        <v>0</v>
      </c>
      <c r="N14" s="39">
        <f t="shared" ca="1" si="8"/>
        <v>1432802.2099999988</v>
      </c>
      <c r="O14" s="39">
        <f t="shared" ca="1" si="1"/>
        <v>26.826824948684017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4121295</v>
      </c>
      <c r="M18" s="23">
        <f t="shared" ca="1" si="11"/>
        <v>3974173</v>
      </c>
      <c r="N18" s="23">
        <f t="shared" ca="1" si="11"/>
        <v>2816072.5999999996</v>
      </c>
      <c r="O18" s="22">
        <f t="shared" ref="O18:O20" ca="1" si="12">IF(L18&gt;0,N18*100/L18,0)</f>
        <v>68.329799249993016</v>
      </c>
      <c r="P18" s="22">
        <f t="shared" ref="P18:P26" ca="1" si="13">IF(M18&gt;0,N18*100/M18,0)</f>
        <v>70.85933601783313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4121295</v>
      </c>
      <c r="M20" s="30">
        <f t="shared" ca="1" si="15"/>
        <v>3974173</v>
      </c>
      <c r="N20" s="30">
        <f t="shared" ca="1" si="15"/>
        <v>2816072.5999999996</v>
      </c>
      <c r="O20" s="29">
        <f t="shared" ca="1" si="12"/>
        <v>68.329799249993016</v>
      </c>
      <c r="P20" s="29">
        <f t="shared" ca="1" si="13"/>
        <v>70.85933601783313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4121295</v>
      </c>
      <c r="M22" s="42">
        <f t="shared" ca="1" si="18"/>
        <v>3974173</v>
      </c>
      <c r="N22" s="39">
        <f t="shared" ca="1" si="18"/>
        <v>2816072.5999999996</v>
      </c>
      <c r="O22" s="39">
        <f t="shared" ca="1" si="17"/>
        <v>68.329799249993016</v>
      </c>
      <c r="P22" s="39">
        <f t="shared" ca="1" si="13"/>
        <v>70.85933601783313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2181000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1940295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3400636</v>
      </c>
      <c r="M28" s="23">
        <f t="shared" si="23"/>
        <v>0</v>
      </c>
      <c r="N28" s="23">
        <f t="shared" ca="1" si="23"/>
        <v>1432802.2099999988</v>
      </c>
      <c r="O28" s="22">
        <f t="shared" ref="O28:O30" ca="1" si="24">IF(L28&gt;0,N28*100/L28,0)</f>
        <v>42.133360053825193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3400636</v>
      </c>
      <c r="M30" s="30">
        <f t="shared" si="27"/>
        <v>0</v>
      </c>
      <c r="N30" s="30">
        <f t="shared" ca="1" si="27"/>
        <v>1432802.2099999988</v>
      </c>
      <c r="O30" s="29">
        <f t="shared" ca="1" si="24"/>
        <v>42.133360053825193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3400636</v>
      </c>
      <c r="M32" s="39">
        <f t="shared" si="30"/>
        <v>0</v>
      </c>
      <c r="N32" s="39">
        <f t="shared" ca="1" si="30"/>
        <v>1432802.2099999988</v>
      </c>
      <c r="O32" s="39">
        <f t="shared" ca="1" si="29"/>
        <v>42.133360053825193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3400636</v>
      </c>
      <c r="M34" s="39">
        <f t="shared" si="32"/>
        <v>0</v>
      </c>
      <c r="N34" s="39">
        <f t="shared" ca="1" si="32"/>
        <v>1432802.2099999988</v>
      </c>
      <c r="O34" s="39">
        <f t="shared" ca="1" si="29"/>
        <v>42.133360053825193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4121295</v>
      </c>
      <c r="M37" s="55">
        <f t="shared" ca="1" si="33"/>
        <v>3974173</v>
      </c>
      <c r="N37" s="55">
        <f t="shared" ca="1" si="33"/>
        <v>2816072.5999999996</v>
      </c>
      <c r="O37" s="56">
        <f t="shared" ca="1" si="29"/>
        <v>68.329799249993016</v>
      </c>
      <c r="P37" s="56">
        <f t="shared" ca="1" si="25"/>
        <v>70.85933601783313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840900</v>
      </c>
      <c r="N41" s="79">
        <f t="shared" ca="1" si="34"/>
        <v>627956.06999999995</v>
      </c>
      <c r="O41" s="78">
        <f t="shared" ref="O41:O43" ca="1" si="35">IF(L41&gt;0,N41*100/L41,0)</f>
        <v>74.676664288262572</v>
      </c>
      <c r="P41" s="78">
        <f t="shared" ref="P41:P43" ca="1" si="36">IF(M41&gt;0,N41*100/M41,0)</f>
        <v>74.676664288262572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840900</v>
      </c>
      <c r="N43" s="79">
        <f t="shared" ca="1" si="38"/>
        <v>627956.06999999995</v>
      </c>
      <c r="O43" s="78">
        <f t="shared" ca="1" si="35"/>
        <v>74.676664288262572</v>
      </c>
      <c r="P43" s="78">
        <f t="shared" ca="1" si="36"/>
        <v>74.676664288262572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IFERROR(__xludf.DUMMYFUNCTION("IMPORTRANGE(""https://docs.google.com/spreadsheets/d/1Yj_ptqi66GCucihVvJfMjLAmec39IyEx_6qawtMGysU/edit?usp=sharing"",""สบก!Q20"")"),840900)</f>
        <v>840900</v>
      </c>
      <c r="N45" s="50">
        <f ca="1">IFERROR(__xludf.DUMMYFUNCTION("IMPORTRANGE(""https://docs.google.com/spreadsheets/d/1Yj_ptqi66GCucihVvJfMjLAmec39IyEx_6qawtMGysU/edit?usp=sharing"",""สบก!R20"")"),627956.07)</f>
        <v>627956.06999999995</v>
      </c>
      <c r="O45" s="39">
        <f ca="1">IF(L45&gt;0,N45*100/L45,0)</f>
        <v>74.676664288262572</v>
      </c>
      <c r="P45" s="39">
        <f ca="1">IF(M45&gt;0,N45*100/M45,0)</f>
        <v>74.676664288262572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469000</v>
      </c>
      <c r="M53" s="121">
        <f t="shared" ca="1" si="39"/>
        <v>488538</v>
      </c>
      <c r="N53" s="121">
        <f t="shared" ca="1" si="39"/>
        <v>422827</v>
      </c>
      <c r="O53" s="120">
        <f t="shared" ref="O53:O55" ca="1" si="40">IF(L53&gt;0,N53*100/L53,0)</f>
        <v>90.155010660980807</v>
      </c>
      <c r="P53" s="120">
        <f t="shared" ref="P53:P55" ca="1" si="41">IF(M53&gt;0,N53*100/M53,0)</f>
        <v>86.549459816841264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469000</v>
      </c>
      <c r="M55" s="121">
        <f t="shared" ca="1" si="43"/>
        <v>488538</v>
      </c>
      <c r="N55" s="121">
        <f t="shared" ca="1" si="43"/>
        <v>422827</v>
      </c>
      <c r="O55" s="120">
        <f t="shared" ca="1" si="40"/>
        <v>90.155010660980807</v>
      </c>
      <c r="P55" s="120">
        <f t="shared" ca="1" si="41"/>
        <v>86.549459816841264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469000</v>
      </c>
      <c r="M57" s="50">
        <f ca="1">IFERROR(__xludf.DUMMYFUNCTION("IMPORTRANGE(""https://docs.google.com/spreadsheets/d/1Yj_ptqi66GCucihVvJfMjLAmec39IyEx_6qawtMGysU/edit?usp=sharing"",""สบก!Z20"")"),488538)</f>
        <v>488538</v>
      </c>
      <c r="N57" s="50">
        <f ca="1">IFERROR(__xludf.DUMMYFUNCTION("IMPORTRANGE(""https://docs.google.com/spreadsheets/d/1Yj_ptqi66GCucihVvJfMjLAmec39IyEx_6qawtMGysU/edit?usp=sharing"",""สบก!AA20"")"),422827)</f>
        <v>422827</v>
      </c>
      <c r="O57" s="39">
        <f ca="1">IF(L57&gt;0,N57*100/L57,0)</f>
        <v>90.155010660980807</v>
      </c>
      <c r="P57" s="39">
        <f ca="1">IF(M57&gt;0,N57*100/M57,0)</f>
        <v>86.549459816841264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IFERROR(__xludf.DUMMYFUNCTION("IMPORTRANGE(""https://docs.google.com/spreadsheets/d/1Yj_ptqi66GCucihVvJfMjLAmec39IyEx_6qawtMGysU/edit?usp=sharing"",""สบก!V20"")"),469000)</f>
        <v>469000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66080</v>
      </c>
      <c r="O118" s="151">
        <f t="shared" ref="O118:O120" ca="1" si="59">IF(L118&gt;0,N118*100/L118,0)</f>
        <v>80.155264434740417</v>
      </c>
      <c r="P118" s="151">
        <f t="shared" ref="P118:P120" ca="1" si="60">IF(M118&gt;0,N118*100/M118,0)</f>
        <v>80.155264434740417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82440</v>
      </c>
      <c r="M120" s="88">
        <f t="shared" ca="1" si="62"/>
        <v>82440</v>
      </c>
      <c r="N120" s="88">
        <f t="shared" ca="1" si="62"/>
        <v>66080</v>
      </c>
      <c r="O120" s="156">
        <f t="shared" ca="1" si="59"/>
        <v>80.155264434740417</v>
      </c>
      <c r="P120" s="156">
        <f t="shared" ca="1" si="60"/>
        <v>80.155264434740417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IFERROR(__xludf.DUMMYFUNCTION("IMPORTRANGE(""https://docs.google.com/spreadsheets/d/1Yj_ptqi66GCucihVvJfMjLAmec39IyEx_6qawtMGysU/edit?usp=sharing"",""สบก!BA20"")"),82440)</f>
        <v>82440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80.155264434740417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206400</v>
      </c>
      <c r="M140" s="152">
        <f t="shared" ca="1" si="64"/>
        <v>197580</v>
      </c>
      <c r="N140" s="152">
        <f t="shared" ca="1" si="64"/>
        <v>151755</v>
      </c>
      <c r="O140" s="151">
        <f t="shared" ref="O140:O142" ca="1" si="65">IF(L140&gt;0,N140*100/L140,0)</f>
        <v>73.524709302325576</v>
      </c>
      <c r="P140" s="151">
        <f t="shared" ref="P140:P142" ca="1" si="66">IF(M140&gt;0,N140*100/M140,0)</f>
        <v>76.806863042818094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206400</v>
      </c>
      <c r="M142" s="88">
        <f t="shared" ca="1" si="68"/>
        <v>197580</v>
      </c>
      <c r="N142" s="88">
        <f t="shared" ca="1" si="68"/>
        <v>151755</v>
      </c>
      <c r="O142" s="156">
        <f t="shared" ca="1" si="65"/>
        <v>73.524709302325576</v>
      </c>
      <c r="P142" s="156">
        <f t="shared" ca="1" si="66"/>
        <v>76.806863042818094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206400</v>
      </c>
      <c r="M144" s="167">
        <f ca="1">IFERROR(__xludf.DUMMYFUNCTION("IMPORTRANGE(""https://docs.google.com/spreadsheets/d/1Yj_ptqi66GCucihVvJfMjLAmec39IyEx_6qawtMGysU/edit?usp=sharing"",""สบก!BJ20"")"),197580)</f>
        <v>197580</v>
      </c>
      <c r="N144" s="168">
        <f ca="1">IFERROR(__xludf.DUMMYFUNCTION("IMPORTRANGE(""https://docs.google.com/spreadsheets/d/1Yj_ptqi66GCucihVvJfMjLAmec39IyEx_6qawtMGysU/edit?usp=sharing"",""สบก!BK20"")"),151755)</f>
        <v>151755</v>
      </c>
      <c r="O144" s="168">
        <f ca="1">IF(L144&gt;0,N144*100/L144,0)</f>
        <v>73.524709302325576</v>
      </c>
      <c r="P144" s="168">
        <f ca="1">IF(M144&gt;0,N144*100/M144,0)</f>
        <v>76.806863042818094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IFERROR(__xludf.DUMMYFUNCTION("IMPORTRANGE(""https://docs.google.com/spreadsheets/d/1Yj_ptqi66GCucihVvJfMjLAmec39IyEx_6qawtMGysU/edit?usp=sharing"",""สบก!BG20"")"),206400)</f>
        <v>206400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IFERROR(__xludf.DUMMYFUNCTION("IMPORTRANGE(""https://docs.google.com/spreadsheets/d/11923uPwbBZFjjGgGUA6NLw09EwE0CqkOc4q9oUmW1yo/edit?usp=sharing"",""กำแพงเพชร!J84"")"),78)</f>
        <v>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IFERROR(__xludf.DUMMYFUNCTION("IMPORTRANGE(""https://docs.google.com/spreadsheets/d/11923uPwbBZFjjGgGUA6NLw09EwE0CqkOc4q9oUmW1yo/edit?usp=sharing"",""กำแพงเพชร!J85"")"),78)</f>
        <v>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208626</v>
      </c>
      <c r="O271" s="151">
        <f t="shared" ref="O271:O273" ca="1" si="84">IF(L271&gt;0,N271*100/L271,0)</f>
        <v>65.359022556390983</v>
      </c>
      <c r="P271" s="151">
        <f t="shared" ref="P271:P273" ca="1" si="85">IF(M271&gt;0,N271*100/M271,0)</f>
        <v>65.359022556390983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319200</v>
      </c>
      <c r="N273" s="88">
        <f t="shared" ca="1" si="87"/>
        <v>208626</v>
      </c>
      <c r="O273" s="156">
        <f t="shared" ca="1" si="84"/>
        <v>65.359022556390983</v>
      </c>
      <c r="P273" s="156">
        <f t="shared" ca="1" si="85"/>
        <v>65.359022556390983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IFERROR(__xludf.DUMMYFUNCTION("IMPORTRANGE(""https://docs.google.com/spreadsheets/d/1Yj_ptqi66GCucihVvJfMjLAmec39IyEx_6qawtMGysU/edit?usp=sharing"",""สบก!CK20"")"),319200)</f>
        <v>319200</v>
      </c>
      <c r="N275" s="168">
        <f ca="1">IFERROR(__xludf.DUMMYFUNCTION("IMPORTRANGE(""https://docs.google.com/spreadsheets/d/1Yj_ptqi66GCucihVvJfMjLAmec39IyEx_6qawtMGysU/edit?usp=sharing"",""สบก!CL20"")"),208626)</f>
        <v>208626</v>
      </c>
      <c r="O275" s="168">
        <f ca="1">IF(L275&gt;0,N275*100/L275,0)</f>
        <v>65.359022556390983</v>
      </c>
      <c r="P275" s="168">
        <f ca="1">IF(M275&gt;0,N275*100/M275,0)</f>
        <v>65.359022556390983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194600</v>
      </c>
      <c r="N310" s="152">
        <f t="shared" ca="1" si="93"/>
        <v>101064.84</v>
      </c>
      <c r="O310" s="151">
        <f t="shared" ref="O310:O312" ca="1" si="94">IF(L310&gt;0,N310*100/L310,0)</f>
        <v>51.934655704008222</v>
      </c>
      <c r="P310" s="151">
        <f t="shared" ref="P310:P312" ca="1" si="95">IF(M310&gt;0,N310*100/M310,0)</f>
        <v>51.934655704008222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194600</v>
      </c>
      <c r="N312" s="88">
        <f t="shared" ca="1" si="97"/>
        <v>101064.84</v>
      </c>
      <c r="O312" s="156">
        <f t="shared" ca="1" si="94"/>
        <v>51.934655704008222</v>
      </c>
      <c r="P312" s="156">
        <f t="shared" ca="1" si="95"/>
        <v>51.934655704008222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IFERROR(__xludf.DUMMYFUNCTION("IMPORTRANGE(""https://docs.google.com/spreadsheets/d/1Yj_ptqi66GCucihVvJfMjLAmec39IyEx_6qawtMGysU/edit?usp=sharing"",""สบก!DC20"")"),194600)</f>
        <v>194600</v>
      </c>
      <c r="N314" s="168">
        <f ca="1">IFERROR(__xludf.DUMMYFUNCTION("IMPORTRANGE(""https://docs.google.com/spreadsheets/d/1Yj_ptqi66GCucihVvJfMjLAmec39IyEx_6qawtMGysU/edit?usp=sharing"",""สบก!DD20"")"),101064.84)</f>
        <v>101064.84</v>
      </c>
      <c r="O314" s="168">
        <f ca="1">IF(L314&gt;0,N314*100/L314,0)</f>
        <v>51.934655704008222</v>
      </c>
      <c r="P314" s="168">
        <f ca="1">IF(M314&gt;0,N314*100/M314,0)</f>
        <v>51.934655704008222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IFERROR(__xludf.DUMMYFUNCTION("IMPORTRANGE(""https://docs.google.com/spreadsheets/d/11923uPwbBZFjjGgGUA6NLw09EwE0CqkOc4q9oUmW1yo/edit?usp=sharing"",""กำแพงเพชร!J228"")"),226)</f>
        <v>226</v>
      </c>
      <c r="K328" s="317">
        <f ca="1">IF(I328&gt;0,J328*100/I328,0)</f>
        <v>18.693134822167082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1987630</v>
      </c>
      <c r="M329" s="152">
        <f t="shared" ca="1" si="98"/>
        <v>1829790</v>
      </c>
      <c r="N329" s="152">
        <f t="shared" ca="1" si="98"/>
        <v>1216638.69</v>
      </c>
      <c r="O329" s="151">
        <f t="shared" ref="O329:O331" ca="1" si="99">IF(L329&gt;0,N329*100/L329,0)</f>
        <v>61.210521575947233</v>
      </c>
      <c r="P329" s="151">
        <f t="shared" ref="P329:P331" ca="1" si="100">IF(M329&gt;0,N329*100/M329,0)</f>
        <v>66.490618595576535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1987630</v>
      </c>
      <c r="M331" s="88">
        <f t="shared" ca="1" si="102"/>
        <v>1829790</v>
      </c>
      <c r="N331" s="88">
        <f t="shared" ca="1" si="102"/>
        <v>1216638.69</v>
      </c>
      <c r="O331" s="156">
        <f t="shared" ca="1" si="99"/>
        <v>61.210521575947233</v>
      </c>
      <c r="P331" s="156">
        <f t="shared" ca="1" si="100"/>
        <v>66.490618595576535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1987630</v>
      </c>
      <c r="M333" s="167">
        <f ca="1">IFERROR(__xludf.DUMMYFUNCTION("IMPORTRANGE(""https://docs.google.com/spreadsheets/d/1Yj_ptqi66GCucihVvJfMjLAmec39IyEx_6qawtMGysU/edit?usp=sharing"",""สบก!DL20"")"),1829790)</f>
        <v>1829790</v>
      </c>
      <c r="N333" s="168">
        <f ca="1">IFERROR(__xludf.DUMMYFUNCTION("IMPORTRANGE(""https://docs.google.com/spreadsheets/d/1Yj_ptqi66GCucihVvJfMjLAmec39IyEx_6qawtMGysU/edit?usp=sharing"",""สบก!DM20"")"),1216638.69)</f>
        <v>1216638.69</v>
      </c>
      <c r="O333" s="168">
        <f ca="1">IF(L333&gt;0,N333*100/L333,0)</f>
        <v>61.210521575947233</v>
      </c>
      <c r="P333" s="168">
        <f ca="1">IF(M333&gt;0,N333*100/M333,0)</f>
        <v>66.490618595576535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IFERROR(__xludf.DUMMYFUNCTION("IMPORTRANGE(""https://docs.google.com/spreadsheets/d/1Yj_ptqi66GCucihVvJfMjLAmec39IyEx_6qawtMGysU/edit?usp=sharing"",""สบก!DI20"")"),1380530)</f>
        <v>1380530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IFERROR(__xludf.DUMMYFUNCTION("IMPORTRANGE(""https://docs.google.com/spreadsheets/d/11923uPwbBZFjjGgGUA6NLw09EwE0CqkOc4q9oUmW1yo/edit?usp=sharing"",""กำแพงเพชร!J234"")"),690)</f>
        <v>690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IFERROR(__xludf.DUMMYFUNCTION("IMPORTRANGE(""https://docs.google.com/spreadsheets/d/11923uPwbBZFjjGgGUA6NLw09EwE0CqkOc4q9oUmW1yo/edit?usp=sharing"",""กำแพงเพชร!J235"")"),6331.48)</f>
        <v>6331.48</v>
      </c>
      <c r="K340" s="342">
        <f t="shared" ca="1" si="103"/>
        <v>75.374761904761911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IFERROR(__xludf.DUMMYFUNCTION("IMPORTRANGE(""https://docs.google.com/spreadsheets/d/11923uPwbBZFjjGgGUA6NLw09EwE0CqkOc4q9oUmW1yo/edit?usp=sharing"",""กำแพงเพชร!J236"")"),656)</f>
        <v>656</v>
      </c>
      <c r="K341" s="342">
        <f t="shared" ca="1" si="103"/>
        <v>54.259718775847809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IFERROR(__xludf.DUMMYFUNCTION("IMPORTRANGE(""https://docs.google.com/spreadsheets/d/11923uPwbBZFjjGgGUA6NLw09EwE0CqkOc4q9oUmW1yo/edit?usp=sharing"",""กำแพงเพชร!J237"")"),7909.79)</f>
        <v>7909.79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IFERROR(__xludf.DUMMYFUNCTION("IMPORTRANGE(""https://docs.google.com/spreadsheets/d/11923uPwbBZFjjGgGUA6NLw09EwE0CqkOc4q9oUmW1yo/edit?usp=sharing"",""กำแพงเพชร!J240"")"),226)</f>
        <v>226</v>
      </c>
      <c r="K345" s="342">
        <f t="shared" ca="1" si="103"/>
        <v>18.693134822167082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IFERROR(__xludf.DUMMYFUNCTION("IMPORTRANGE(""https://docs.google.com/spreadsheets/d/11923uPwbBZFjjGgGUA6NLw09EwE0CqkOc4q9oUmW1yo/edit?usp=sharing"",""กำแพงเพชร!J241"")"),3116.58)</f>
        <v>3116.58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IFERROR(__xludf.DUMMYFUNCTION("IMPORTRANGE(""https://docs.google.com/spreadsheets/d/11923uPwbBZFjjGgGUA6NLw09EwE0CqkOc4q9oUmW1yo/edit?usp=sharing"",""กำแพงเพชร!L242"")"),3400636)</f>
        <v>3400636</v>
      </c>
      <c r="M347" s="357"/>
      <c r="N347" s="357">
        <f ca="1">IFERROR(__xludf.DUMMYFUNCTION("IMPORTRANGE(""https://docs.google.com/spreadsheets/d/11923uPwbBZFjjGgGUA6NLw09EwE0CqkOc4q9oUmW1yo/edit?usp=sharing"",""กำแพงเพชร!M242"")"),1432802.20999999)</f>
        <v>1432802.20999999</v>
      </c>
      <c r="O347" s="357">
        <f ca="1">+IF(L347&gt;0,N347*100/L347,0)</f>
        <v>42.13336005382493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IFERROR(__xludf.DUMMYFUNCTION("IMPORTRANGE(""https://docs.google.com/spreadsheets/d/11923uPwbBZFjjGgGUA6NLw09EwE0CqkOc4q9oUmW1yo/edit?usp=sharing"",""กำแพงเพชร!M275"")"),304415.589999999)</f>
        <v>304415.58999999898</v>
      </c>
      <c r="O380" s="372">
        <f ca="1">+IF(L380&gt;0,N380*100/L380,0)</f>
        <v>29.597440010889336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IFERROR(__xludf.DUMMYFUNCTION("IMPORTRANGE(""https://docs.google.com/spreadsheets/d/11923uPwbBZFjjGgGUA6NLw09EwE0CqkOc4q9oUmW1yo/edit?usp=sharing"",""กำแพงเพชร!M278"")"),304415.589999999)</f>
        <v>304415.58999999898</v>
      </c>
      <c r="O383" s="165">
        <f t="shared" ca="1" si="109"/>
        <v>29.597440010889336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IFERROR(__xludf.DUMMYFUNCTION("IMPORTRANGE(""https://docs.google.com/spreadsheets/d/11923uPwbBZFjjGgGUA6NLw09EwE0CqkOc4q9oUmW1yo/edit?usp=sharing"",""กำแพงเพชร!M280"")"),304415.589999999)</f>
        <v>304415.58999999898</v>
      </c>
      <c r="O385" s="168">
        <f t="shared" ca="1" si="109"/>
        <v>29.597440010889336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IFERROR(__xludf.DUMMYFUNCTION("IMPORTRANGE(""https://docs.google.com/spreadsheets/d/11923uPwbBZFjjGgGUA6NLw09EwE0CqkOc4q9oUmW1yo/edit?usp=sharing"",""กำแพงเพชร!M283"")"),84413.59)</f>
        <v>84413.59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IFERROR(__xludf.DUMMYFUNCTION("IMPORTRANGE(""https://docs.google.com/spreadsheets/d/11923uPwbBZFjjGgGUA6NLw09EwE0CqkOc4q9oUmW1yo/edit?usp=sharing"",""กำแพงเพชร!M284"")"),22002)</f>
        <v>22002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IFERROR(__xludf.DUMMYFUNCTION("IMPORTRANGE(""https://docs.google.com/spreadsheets/d/11923uPwbBZFjjGgGUA6NLw09EwE0CqkOc4q9oUmW1yo/edit?usp=sharing"",""กำแพงเพชร!M296"")"),158843)</f>
        <v>158843</v>
      </c>
      <c r="O401" s="372">
        <f ca="1">+IF(L401&gt;0,N401*100/L401,0)</f>
        <v>99.307908721475457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IFERROR(__xludf.DUMMYFUNCTION("IMPORTRANGE(""https://docs.google.com/spreadsheets/d/11923uPwbBZFjjGgGUA6NLw09EwE0CqkOc4q9oUmW1yo/edit?usp=sharing"",""กำแพงเพชร!M299"")"),158843)</f>
        <v>158843</v>
      </c>
      <c r="O404" s="168">
        <f t="shared" ca="1" si="112"/>
        <v>99.307908721475457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IFERROR(__xludf.DUMMYFUNCTION("IMPORTRANGE(""https://docs.google.com/spreadsheets/d/11923uPwbBZFjjGgGUA6NLw09EwE0CqkOc4q9oUmW1yo/edit?usp=sharing"",""กำแพงเพชร!M301"")"),158843)</f>
        <v>158843</v>
      </c>
      <c r="O406" s="168">
        <f t="shared" ca="1" si="112"/>
        <v>99.307908721475457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IFERROR(__xludf.DUMMYFUNCTION("IMPORTRANGE(""https://docs.google.com/spreadsheets/d/11923uPwbBZFjjGgGUA6NLw09EwE0CqkOc4q9oUmW1yo/edit?usp=sharing"",""กำแพงเพชร!M305"")"),28793)</f>
        <v>28793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IFERROR(__xludf.DUMMYFUNCTION("IMPORTRANGE(""https://docs.google.com/spreadsheets/d/11923uPwbBZFjjGgGUA6NLw09EwE0CqkOc4q9oUmW1yo/edit?usp=sharing"",""กำแพงเพชร!M330"")"),111249)</f>
        <v>111249</v>
      </c>
      <c r="O435" s="411">
        <f t="shared" ref="O435:O439" ca="1" si="114">+IF(L435&gt;0,N435*100/L435,0)</f>
        <v>79.691260744985669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IFERROR(__xludf.DUMMYFUNCTION("IMPORTRANGE(""https://docs.google.com/spreadsheets/d/11923uPwbBZFjjGgGUA6NLw09EwE0CqkOc4q9oUmW1yo/edit?usp=sharing"",""กำแพงเพชร!M332"")"),111249)</f>
        <v>111249</v>
      </c>
      <c r="O437" s="168">
        <f t="shared" ca="1" si="114"/>
        <v>79.691260744985669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IFERROR(__xludf.DUMMYFUNCTION("IMPORTRANGE(""https://docs.google.com/spreadsheets/d/11923uPwbBZFjjGgGUA6NLw09EwE0CqkOc4q9oUmW1yo/edit?usp=sharing"",""กำแพงเพชร!M334"")"),111249)</f>
        <v>111249</v>
      </c>
      <c r="O439" s="168">
        <f t="shared" ca="1" si="114"/>
        <v>79.691260744985669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IFERROR(__xludf.DUMMYFUNCTION("IMPORTRANGE(""https://docs.google.com/spreadsheets/d/11923uPwbBZFjjGgGUA6NLw09EwE0CqkOc4q9oUmW1yo/edit?usp=sharing"",""กำแพงเพชร!M338"")"),22890)</f>
        <v>22890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IFERROR(__xludf.DUMMYFUNCTION("IMPORTRANGE(""https://docs.google.com/spreadsheets/d/11923uPwbBZFjjGgGUA6NLw09EwE0CqkOc4q9oUmW1yo/edit?usp=sharing"",""กำแพงเพชร!J350"")"),162754)</f>
        <v>162754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IFERROR(__xludf.DUMMYFUNCTION("IMPORTRANGE(""https://docs.google.com/spreadsheets/d/11923uPwbBZFjjGgGUA6NLw09EwE0CqkOc4q9oUmW1yo/edit?usp=sharing"",""กำแพงเพชร!L350"")"),1145966)</f>
        <v>1145966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IFERROR(__xludf.DUMMYFUNCTION("IMPORTRANGE(""https://docs.google.com/spreadsheets/d/11923uPwbBZFjjGgGUA6NLw09EwE0CqkOc4q9oUmW1yo/edit?usp=sharing"",""กำแพงเพชร!M350"")"),234008.34)</f>
        <v>234008.34</v>
      </c>
      <c r="O455" s="372">
        <f t="shared" ref="O455:O459" ca="1" si="116">+IF(L455&gt;0,N455*100/L455,0)</f>
        <v>20.420181750592949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IFERROR(__xludf.DUMMYFUNCTION("IMPORTRANGE(""https://docs.google.com/spreadsheets/d/11923uPwbBZFjjGgGUA6NLw09EwE0CqkOc4q9oUmW1yo/edit?usp=sharing"",""กำแพงเพชร!L352"")"),1145966)</f>
        <v>1145966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IFERROR(__xludf.DUMMYFUNCTION("IMPORTRANGE(""https://docs.google.com/spreadsheets/d/11923uPwbBZFjjGgGUA6NLw09EwE0CqkOc4q9oUmW1yo/edit?usp=sharing"",""กำแพงเพชร!M352"")"),234008.34)</f>
        <v>234008.34</v>
      </c>
      <c r="O457" s="168">
        <f t="shared" ca="1" si="116"/>
        <v>20.420181750592949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IFERROR(__xludf.DUMMYFUNCTION("IMPORTRANGE(""https://docs.google.com/spreadsheets/d/11923uPwbBZFjjGgGUA6NLw09EwE0CqkOc4q9oUmW1yo/edit?usp=sharing"",""กำแพงเพชร!L354"")"),1145966)</f>
        <v>1145966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IFERROR(__xludf.DUMMYFUNCTION("IMPORTRANGE(""https://docs.google.com/spreadsheets/d/11923uPwbBZFjjGgGUA6NLw09EwE0CqkOc4q9oUmW1yo/edit?usp=sharing"",""กำแพงเพชร!M354"")"),234008.34)</f>
        <v>234008.34</v>
      </c>
      <c r="O459" s="168">
        <f t="shared" ca="1" si="116"/>
        <v>20.420181750592949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IFERROR(__xludf.DUMMYFUNCTION("IMPORTRANGE(""https://docs.google.com/spreadsheets/d/11923uPwbBZFjjGgGUA6NLw09EwE0CqkOc4q9oUmW1yo/edit?usp=sharing"",""กำแพงเพชร!M357"")"),82863.34)</f>
        <v>82863.34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IFERROR(__xludf.DUMMYFUNCTION("IMPORTRANGE(""https://docs.google.com/spreadsheets/d/11923uPwbBZFjjGgGUA6NLw09EwE0CqkOc4q9oUmW1yo/edit?usp=sharing"",""กำแพงเพชร!M358"")"),151145)</f>
        <v>151145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IFERROR(__xludf.DUMMYFUNCTION("IMPORTRANGE(""https://docs.google.com/spreadsheets/d/11923uPwbBZFjjGgGUA6NLw09EwE0CqkOc4q9oUmW1yo/edit?usp=sharing"",""กำแพงเพชร!J359"")"),162754)</f>
        <v>162754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IFERROR(__xludf.DUMMYFUNCTION("IMPORTRANGE(""https://docs.google.com/spreadsheets/d/11923uPwbBZFjjGgGUA6NLw09EwE0CqkOc4q9oUmW1yo/edit?usp=sharing"",""กำแพงเพชร!J364"")"),39441)</f>
        <v>39441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IFERROR(__xludf.DUMMYFUNCTION("IMPORTRANGE(""https://docs.google.com/spreadsheets/d/11923uPwbBZFjjGgGUA6NLw09EwE0CqkOc4q9oUmW1yo/edit?usp=sharing"",""กำแพงเพชร!J376"")"),162754)</f>
        <v>162754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IFERROR(__xludf.DUMMYFUNCTION("IMPORTRANGE(""https://docs.google.com/spreadsheets/d/11923uPwbBZFjjGgGUA6NLw09EwE0CqkOc4q9oUmW1yo/edit?usp=sharing"",""กำแพงเพชร!J377"")"),12870)</f>
        <v>12870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IFERROR(__xludf.DUMMYFUNCTION("IMPORTRANGE(""https://docs.google.com/spreadsheets/d/11923uPwbBZFjjGgGUA6NLw09EwE0CqkOc4q9oUmW1yo/edit?usp=sharing"",""กำแพงเพชร!J378"")"),153013)</f>
        <v>153013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IFERROR(__xludf.DUMMYFUNCTION("IMPORTRANGE(""https://docs.google.com/spreadsheets/d/11923uPwbBZFjjGgGUA6NLw09EwE0CqkOc4q9oUmW1yo/edit?usp=sharing"",""กำแพงเพชร!J379"")"),12219)</f>
        <v>12219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IFERROR(__xludf.DUMMYFUNCTION("IMPORTRANGE(""https://docs.google.com/spreadsheets/d/11923uPwbBZFjjGgGUA6NLw09EwE0CqkOc4q9oUmW1yo/edit?usp=sharing"",""กำแพงเพชร!J380"")"),29)</f>
        <v>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IFERROR(__xludf.DUMMYFUNCTION("IMPORTRANGE(""https://docs.google.com/spreadsheets/d/11923uPwbBZFjjGgGUA6NLw09EwE0CqkOc4q9oUmW1yo/edit?usp=sharing"",""กำแพงเพชร!J382"")"),3154)</f>
        <v>3154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IFERROR(__xludf.DUMMYFUNCTION("IMPORTRANGE(""https://docs.google.com/spreadsheets/d/11923uPwbBZFjjGgGUA6NLw09EwE0CqkOc4q9oUmW1yo/edit?usp=sharing"",""กำแพงเพชร!J383"")"),264)</f>
        <v>264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IFERROR(__xludf.DUMMYFUNCTION("IMPORTRANGE(""https://docs.google.com/spreadsheets/d/11923uPwbBZFjjGgGUA6NLw09EwE0CqkOc4q9oUmW1yo/edit?usp=sharing"",""กำแพงเพชร!J384"")"),3096)</f>
        <v>3096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IFERROR(__xludf.DUMMYFUNCTION("IMPORTRANGE(""https://docs.google.com/spreadsheets/d/11923uPwbBZFjjGgGUA6NLw09EwE0CqkOc4q9oUmW1yo/edit?usp=sharing"",""กำแพงเพชร!J385"")"),261)</f>
        <v>261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IFERROR(__xludf.DUMMYFUNCTION("IMPORTRANGE(""https://docs.google.com/spreadsheets/d/11923uPwbBZFjjGgGUA6NLw09EwE0CqkOc4q9oUmW1yo/edit?usp=sharing"",""กำแพงเพชร!J386"")"),58)</f>
        <v>58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IFERROR(__xludf.DUMMYFUNCTION("IMPORTRANGE(""https://docs.google.com/spreadsheets/d/11923uPwbBZFjjGgGUA6NLw09EwE0CqkOc4q9oUmW1yo/edit?usp=sharing"",""กำแพงเพชร!J388"")"),6558)</f>
        <v>6558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IFERROR(__xludf.DUMMYFUNCTION("IMPORTRANGE(""https://docs.google.com/spreadsheets/d/11923uPwbBZFjjGgGUA6NLw09EwE0CqkOc4q9oUmW1yo/edit?usp=sharing"",""กำแพงเพชร!J389"")"),386)</f>
        <v>386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IFERROR(__xludf.DUMMYFUNCTION("IMPORTRANGE(""https://docs.google.com/spreadsheets/d/11923uPwbBZFjjGgGUA6NLw09EwE0CqkOc4q9oUmW1yo/edit?usp=sharing"",""กำแพงเพชร!L428"")"),34350)</f>
        <v>34350</v>
      </c>
      <c r="M533" s="411"/>
      <c r="N533" s="411">
        <f ca="1">IFERROR(__xludf.DUMMYFUNCTION("IMPORTRANGE(""https://docs.google.com/spreadsheets/d/11923uPwbBZFjjGgGUA6NLw09EwE0CqkOc4q9oUmW1yo/edit?usp=sharing"",""กำแพงเพชร!M428"")"),34350)</f>
        <v>34350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IFERROR(__xludf.DUMMYFUNCTION("IMPORTRANGE(""https://docs.google.com/spreadsheets/d/11923uPwbBZFjjGgGUA6NLw09EwE0CqkOc4q9oUmW1yo/edit?usp=sharing"",""กำแพงเพชร!M430"")"),34350)</f>
        <v>34350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IFERROR(__xludf.DUMMYFUNCTION("IMPORTRANGE(""https://docs.google.com/spreadsheets/d/11923uPwbBZFjjGgGUA6NLw09EwE0CqkOc4q9oUmW1yo/edit?usp=sharing"",""กำแพงเพชร!M432"")"),34350)</f>
        <v>34350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IFERROR(__xludf.DUMMYFUNCTION("IMPORTRANGE(""https://docs.google.com/spreadsheets/d/11923uPwbBZFjjGgGUA6NLw09EwE0CqkOc4q9oUmW1yo/edit?usp=sharing"",""กำแพงเพชร!M436"")"),14190)</f>
        <v>14190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IFERROR(__xludf.DUMMYFUNCTION("IMPORTRANGE(""https://docs.google.com/spreadsheets/d/11923uPwbBZFjjGgGUA6NLw09EwE0CqkOc4q9oUmW1yo/edit?usp=sharing"",""กำแพงเพชร!J446"")"),5047)</f>
        <v>5047</v>
      </c>
      <c r="K551" s="410">
        <f ca="1">IF(I551&gt;0,J551*100/I551,0)</f>
        <v>100.94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IFERROR(__xludf.DUMMYFUNCTION("IMPORTRANGE(""https://docs.google.com/spreadsheets/d/11923uPwbBZFjjGgGUA6NLw09EwE0CqkOc4q9oUmW1yo/edit?usp=sharing"",""กำแพงเพชร!M446"")"),277168.89)</f>
        <v>277168.89</v>
      </c>
      <c r="O551" s="411">
        <f t="shared" ref="O551:O555" ca="1" si="120">+IF(L551&gt;0,N551*100/L551,0)</f>
        <v>86.615278125000003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IFERROR(__xludf.DUMMYFUNCTION("IMPORTRANGE(""https://docs.google.com/spreadsheets/d/11923uPwbBZFjjGgGUA6NLw09EwE0CqkOc4q9oUmW1yo/edit?usp=sharing"",""กำแพงเพชร!M448"")"),277168.89)</f>
        <v>277168.89</v>
      </c>
      <c r="O553" s="168">
        <f t="shared" ca="1" si="120"/>
        <v>86.615278125000003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IFERROR(__xludf.DUMMYFUNCTION("IMPORTRANGE(""https://docs.google.com/spreadsheets/d/11923uPwbBZFjjGgGUA6NLw09EwE0CqkOc4q9oUmW1yo/edit?usp=sharing"",""กำแพงเพชร!M450"")"),277168.89)</f>
        <v>277168.89</v>
      </c>
      <c r="O555" s="168">
        <f t="shared" ca="1" si="120"/>
        <v>86.615278125000003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IFERROR(__xludf.DUMMYFUNCTION("IMPORTRANGE(""https://docs.google.com/spreadsheets/d/11923uPwbBZFjjGgGUA6NLw09EwE0CqkOc4q9oUmW1yo/edit?usp=sharing"",""กำแพงเพชร!M453"")"),102140)</f>
        <v>102140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IFERROR(__xludf.DUMMYFUNCTION("IMPORTRANGE(""https://docs.google.com/spreadsheets/d/11923uPwbBZFjjGgGUA6NLw09EwE0CqkOc4q9oUmW1yo/edit?usp=sharing"",""กำแพงเพชร!M454"")"),175028.89)</f>
        <v>175028.89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IFERROR(__xludf.DUMMYFUNCTION("IMPORTRANGE(""https://docs.google.com/spreadsheets/d/11923uPwbBZFjjGgGUA6NLw09EwE0CqkOc4q9oUmW1yo/edit?usp=sharing"",""กำแพงเพชร!J455"")"),5047)</f>
        <v>5047</v>
      </c>
      <c r="K560" s="224">
        <f t="shared" ref="K560:K561" ca="1" si="121">IF(I560&gt;0,J560*100/I560,0)</f>
        <v>100.94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IFERROR(__xludf.DUMMYFUNCTION("IMPORTRANGE(""https://docs.google.com/spreadsheets/d/11923uPwbBZFjjGgGUA6NLw09EwE0CqkOc4q9oUmW1yo/edit?usp=sharing"",""กำแพงเพชร!J456"")"),314)</f>
        <v>314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IFERROR(__xludf.DUMMYFUNCTION("IMPORTRANGE(""https://docs.google.com/spreadsheets/d/11923uPwbBZFjjGgGUA6NLw09EwE0CqkOc4q9oUmW1yo/edit?usp=sharing"",""กำแพงเพชร!J459"")"),10720)</f>
        <v>10720</v>
      </c>
      <c r="K564" s="371">
        <f ca="1">IF(I564&gt;0,J564*100/I564,0)</f>
        <v>218.77551020408163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IFERROR(__xludf.DUMMYFUNCTION("IMPORTRANGE(""https://docs.google.com/spreadsheets/d/11923uPwbBZFjjGgGUA6NLw09EwE0CqkOc4q9oUmW1yo/edit?usp=sharing"",""กำแพงเพชร!M459"")"),127104.13)</f>
        <v>127104.13</v>
      </c>
      <c r="O564" s="372">
        <f t="shared" ref="O564:O568" ca="1" si="122">+IF(L564&gt;0,N564*100/L564,0)</f>
        <v>75.657220238095235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IFERROR(__xludf.DUMMYFUNCTION("IMPORTRANGE(""https://docs.google.com/spreadsheets/d/11923uPwbBZFjjGgGUA6NLw09EwE0CqkOc4q9oUmW1yo/edit?usp=sharing"",""กำแพงเพชร!M461"")"),127104.13)</f>
        <v>127104.13</v>
      </c>
      <c r="O566" s="168">
        <f t="shared" ca="1" si="122"/>
        <v>75.657220238095235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IFERROR(__xludf.DUMMYFUNCTION("IMPORTRANGE(""https://docs.google.com/spreadsheets/d/11923uPwbBZFjjGgGUA6NLw09EwE0CqkOc4q9oUmW1yo/edit?usp=sharing"",""กำแพงเพชร!M463"")"),127104.13)</f>
        <v>127104.13</v>
      </c>
      <c r="O568" s="168">
        <f t="shared" ca="1" si="122"/>
        <v>75.657220238095235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IFERROR(__xludf.DUMMYFUNCTION("IMPORTRANGE(""https://docs.google.com/spreadsheets/d/11923uPwbBZFjjGgGUA6NLw09EwE0CqkOc4q9oUmW1yo/edit?usp=sharing"",""กำแพงเพชร!M466"")"),80000)</f>
        <v>80000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IFERROR(__xludf.DUMMYFUNCTION("IMPORTRANGE(""https://docs.google.com/spreadsheets/d/11923uPwbBZFjjGgGUA6NLw09EwE0CqkOc4q9oUmW1yo/edit?usp=sharing"",""กำแพงเพชร!M467"")"),47104.13)</f>
        <v>47104.13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IFERROR(__xludf.DUMMYFUNCTION("IMPORTRANGE(""https://docs.google.com/spreadsheets/d/11923uPwbBZFjjGgGUA6NLw09EwE0CqkOc4q9oUmW1yo/edit?usp=sharing"",""กำแพงเพชร!J468"")"),10720)</f>
        <v>10720</v>
      </c>
      <c r="K573" s="201">
        <f ca="1">IF(I573&gt;0,J573*100/I573,0)</f>
        <v>218.77551020408163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IFERROR(__xludf.DUMMYFUNCTION("IMPORTRANGE(""https://docs.google.com/spreadsheets/d/11923uPwbBZFjjGgGUA6NLw09EwE0CqkOc4q9oUmW1yo/edit?usp=sharing"",""กำแพงเพชร!J471"")"),94)</f>
        <v>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IFERROR(__xludf.DUMMYFUNCTION("IMPORTRANGE(""https://docs.google.com/spreadsheets/d/11923uPwbBZFjjGgGUA6NLw09EwE0CqkOc4q9oUmW1yo/edit?usp=sharing"",""กำแพงเพชร!J472"")"),10626)</f>
        <v>10626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IFERROR(__xludf.DUMMYFUNCTION("IMPORTRANGE(""https://docs.google.com/spreadsheets/d/11923uPwbBZFjjGgGUA6NLw09EwE0CqkOc4q9oUmW1yo/edit?usp=sharing"",""กำแพงเพชร!I475"")"),250)</f>
        <v>250</v>
      </c>
      <c r="J580" s="370">
        <f ca="1">IFERROR(__xludf.DUMMYFUNCTION("IMPORTRANGE(""https://docs.google.com/spreadsheets/d/11923uPwbBZFjjGgGUA6NLw09EwE0CqkOc4q9oUmW1yo/edit?usp=sharing"",""กำแพงเพชร!J475"")"),2)</f>
        <v>2</v>
      </c>
      <c r="K580" s="371">
        <f ca="1">IF(I580&gt;0,J580*100/I580,0)</f>
        <v>0.8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IFERROR(__xludf.DUMMYFUNCTION("IMPORTRANGE(""https://docs.google.com/spreadsheets/d/11923uPwbBZFjjGgGUA6NLw09EwE0CqkOc4q9oUmW1yo/edit?usp=sharing"",""กำแพงเพชร!M475"")"),184463.26)</f>
        <v>184463.26</v>
      </c>
      <c r="O580" s="372">
        <f t="shared" ref="O580:O584" ca="1" si="124">+IF(L580&gt;0,N580*100/L580,0)</f>
        <v>46.658216769950677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IFERROR(__xludf.DUMMYFUNCTION("IMPORTRANGE(""https://docs.google.com/spreadsheets/d/11923uPwbBZFjjGgGUA6NLw09EwE0CqkOc4q9oUmW1yo/edit?usp=sharing"",""กำแพงเพชร!M477"")"),184463.26)</f>
        <v>184463.26</v>
      </c>
      <c r="O582" s="168">
        <f t="shared" ca="1" si="124"/>
        <v>46.658216769950677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IFERROR(__xludf.DUMMYFUNCTION("IMPORTRANGE(""https://docs.google.com/spreadsheets/d/11923uPwbBZFjjGgGUA6NLw09EwE0CqkOc4q9oUmW1yo/edit?usp=sharing"",""กำแพงเพชร!M479"")"),184463.26)</f>
        <v>184463.26</v>
      </c>
      <c r="O584" s="168">
        <f t="shared" ca="1" si="124"/>
        <v>46.658216769950677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IFERROR(__xludf.DUMMYFUNCTION("IMPORTRANGE(""https://docs.google.com/spreadsheets/d/11923uPwbBZFjjGgGUA6NLw09EwE0CqkOc4q9oUmW1yo/edit?usp=sharing"",""กำแพงเพชร!M482"")"),83196.67)</f>
        <v>83196.67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IFERROR(__xludf.DUMMYFUNCTION("IMPORTRANGE(""https://docs.google.com/spreadsheets/d/11923uPwbBZFjjGgGUA6NLw09EwE0CqkOc4q9oUmW1yo/edit?usp=sharing"",""กำแพงเพชร!M483"")"),101266.59)</f>
        <v>101266.59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IFERROR(__xludf.DUMMYFUNCTION("IMPORTRANGE(""https://docs.google.com/spreadsheets/d/11923uPwbBZFjjGgGUA6NLw09EwE0CqkOc4q9oUmW1yo/edit?usp=sharing"",""กำแพงเพชร!I484"")"),250)</f>
        <v>250</v>
      </c>
      <c r="J589" s="187">
        <f ca="1">IFERROR(__xludf.DUMMYFUNCTION("IMPORTRANGE(""https://docs.google.com/spreadsheets/d/11923uPwbBZFjjGgGUA6NLw09EwE0CqkOc4q9oUmW1yo/edit?usp=sharing"",""กำแพงเพชร!J484"")"),305)</f>
        <v>305</v>
      </c>
      <c r="K589" s="163">
        <f t="shared" ref="K589:K596" ca="1" si="125">IF(I589&gt;0,J589*100/I589,0)</f>
        <v>122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IFERROR(__xludf.DUMMYFUNCTION("IMPORTRANGE(""https://docs.google.com/spreadsheets/d/11923uPwbBZFjjGgGUA6NLw09EwE0CqkOc4q9oUmW1yo/edit?usp=sharing"",""กำแพงเพชร!J485"")"),254.74)</f>
        <v>254.74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IFERROR(__xludf.DUMMYFUNCTION("IMPORTRANGE(""https://docs.google.com/spreadsheets/d/11923uPwbBZFjjGgGUA6NLw09EwE0CqkOc4q9oUmW1yo/edit?usp=sharing"",""กำแพงเพชร!I486"")"),250)</f>
        <v>250</v>
      </c>
      <c r="J591" s="187">
        <f ca="1">IFERROR(__xludf.DUMMYFUNCTION("IMPORTRANGE(""https://docs.google.com/spreadsheets/d/11923uPwbBZFjjGgGUA6NLw09EwE0CqkOc4q9oUmW1yo/edit?usp=sharing"",""กำแพงเพชร!J486"")"),103)</f>
        <v>103</v>
      </c>
      <c r="K591" s="163">
        <f t="shared" ca="1" si="125"/>
        <v>41.2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IFERROR(__xludf.DUMMYFUNCTION("IMPORTRANGE(""https://docs.google.com/spreadsheets/d/11923uPwbBZFjjGgGUA6NLw09EwE0CqkOc4q9oUmW1yo/edit?usp=sharing"",""กำแพงเพชร!J487"")"),82.82)</f>
        <v>82.82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IFERROR(__xludf.DUMMYFUNCTION("IMPORTRANGE(""https://docs.google.com/spreadsheets/d/11923uPwbBZFjjGgGUA6NLw09EwE0CqkOc4q9oUmW1yo/edit?usp=sharing"",""กำแพงเพชร!I488"")"),250)</f>
        <v>250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IFERROR(__xludf.DUMMYFUNCTION("IMPORTRANGE(""https://docs.google.com/spreadsheets/d/11923uPwbBZFjjGgGUA6NLw09EwE0CqkOc4q9oUmW1yo/edit?usp=sharing"",""กำแพงเพชร!I490"")"),250)</f>
        <v>250</v>
      </c>
      <c r="J595" s="187">
        <f ca="1">IFERROR(__xludf.DUMMYFUNCTION("IMPORTRANGE(""https://docs.google.com/spreadsheets/d/11923uPwbBZFjjGgGUA6NLw09EwE0CqkOc4q9oUmW1yo/edit?usp=sharing"",""กำแพงเพชร!J490"")"),2)</f>
        <v>2</v>
      </c>
      <c r="K595" s="163">
        <f t="shared" ca="1" si="125"/>
        <v>0.8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IFERROR(__xludf.DUMMYFUNCTION("IMPORTRANGE(""https://docs.google.com/spreadsheets/d/11923uPwbBZFjjGgGUA6NLw09EwE0CqkOc4q9oUmW1yo/edit?usp=sharing"",""กำแพงเพชร!J491"")"),2.38)</f>
        <v>2.38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8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IFERROR(__xludf.DUMMYFUNCTION("IMPORTRANGE(""https://docs.google.com/spreadsheets/d/11923uPwbBZFjjGgGUA6NLw09EwE0CqkOc4q9oUmW1yo/edit?usp=sharing"",""กำแพงเพชร!L492"")"),8900)</f>
        <v>8900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13.48314606741573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IFERROR(__xludf.DUMMYFUNCTION("IMPORTRANGE(""https://docs.google.com/spreadsheets/d/11923uPwbBZFjjGgGUA6NLw09EwE0CqkOc4q9oUmW1yo/edit?usp=sharing"",""กำแพงเพชร!J523"")"),2604000)</f>
        <v>2604000</v>
      </c>
      <c r="K628" s="342">
        <f t="shared" ref="K628:K635" ca="1" si="129">IF(I628&gt;0,J628*100/I628,0)</f>
        <v>52.08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IFERROR(__xludf.DUMMYFUNCTION("IMPORTRANGE(""https://docs.google.com/spreadsheets/d/11923uPwbBZFjjGgGUA6NLw09EwE0CqkOc4q9oUmW1yo/edit?usp=sharing"",""กำแพงเพชร!J524"")"),84)</f>
        <v>84</v>
      </c>
      <c r="K629" s="342">
        <f t="shared" ca="1" si="129"/>
        <v>52.173913043478258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IFERROR(__xludf.DUMMYFUNCTION("IMPORTRANGE(""https://docs.google.com/spreadsheets/d/11923uPwbBZFjjGgGUA6NLw09EwE0CqkOc4q9oUmW1yo/edit?usp=sharing"",""กำแพงเพชร!J525"")"),1100266.23)</f>
        <v>1100266.23</v>
      </c>
      <c r="K630" s="342">
        <f t="shared" ca="1" si="129"/>
        <v>22.138437668196953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IFERROR(__xludf.DUMMYFUNCTION("IMPORTRANGE(""https://docs.google.com/spreadsheets/d/11923uPwbBZFjjGgGUA6NLw09EwE0CqkOc4q9oUmW1yo/edit?usp=sharing"",""กำแพงเพชร!J526"")"),65)</f>
        <v>65</v>
      </c>
      <c r="K631" s="342">
        <f t="shared" ca="1" si="129"/>
        <v>51.587301587301589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IFERROR(__xludf.DUMMYFUNCTION("IMPORTRANGE(""https://docs.google.com/spreadsheets/d/11923uPwbBZFjjGgGUA6NLw09EwE0CqkOc4q9oUmW1yo/edit?usp=sharing"",""กำแพงเพชร!J527"")"),1014360.73)</f>
        <v>1014360.73</v>
      </c>
      <c r="K632" s="342">
        <f t="shared" ca="1" si="129"/>
        <v>40.23149353521621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IFERROR(__xludf.DUMMYFUNCTION("IMPORTRANGE(""https://docs.google.com/spreadsheets/d/11923uPwbBZFjjGgGUA6NLw09EwE0CqkOc4q9oUmW1yo/edit?usp=sharing"",""กำแพงเพชร!J528"")"),195)</f>
        <v>195</v>
      </c>
      <c r="K633" s="342">
        <f t="shared" ca="1" si="129"/>
        <v>66.552901023890783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IFERROR(__xludf.DUMMYFUNCTION("IMPORTRANGE(""https://docs.google.com/spreadsheets/d/11923uPwbBZFjjGgGUA6NLw09EwE0CqkOc4q9oUmW1yo/edit?usp=sharing"",""กำแพงเพชร!J529"")"),3480000)</f>
        <v>3480000</v>
      </c>
      <c r="K634" s="342">
        <f t="shared" ca="1" si="129"/>
        <v>69.599999999999994</v>
      </c>
      <c r="L634" s="342"/>
      <c r="M634" s="342"/>
      <c r="N634" s="342"/>
      <c r="O634" s="168"/>
      <c r="P634" s="168"/>
    </row>
    <row r="635" spans="1:16" ht="21.75" customHeight="1" x14ac:dyDescent="0.25">
      <c r="A635" s="557"/>
      <c r="B635" s="558"/>
      <c r="C635" s="558"/>
      <c r="D635" s="559"/>
      <c r="E635" s="560"/>
      <c r="F635" s="560"/>
      <c r="G635" s="561"/>
      <c r="H635" s="504" t="s">
        <v>37</v>
      </c>
      <c r="I635" s="505">
        <f ca="1">IFERROR(__xludf.DUMMYFUNCTION("IMPORTRANGE(""https://docs.google.com/spreadsheets/d/11923uPwbBZFjjGgGUA6NLw09EwE0CqkOc4q9oUmW1yo/edit?usp=sharing"",""กำแพงเพชร!I530"")"),164)</f>
        <v>164</v>
      </c>
      <c r="J635" s="505">
        <f ca="1">IFERROR(__xludf.DUMMYFUNCTION("IMPORTRANGE(""https://docs.google.com/spreadsheets/d/11923uPwbBZFjjGgGUA6NLw09EwE0CqkOc4q9oUmW1yo/edit?usp=sharing"",""กำแพงเพชร!J530"")"),116)</f>
        <v>116</v>
      </c>
      <c r="K635" s="487">
        <f t="shared" ca="1" si="129"/>
        <v>70.731707317073173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IFERROR(__xludf.DUMMYFUNCTION("IMPORTRANGE(""https://docs.google.com/spreadsheets/d/11923uPwbBZFjjGgGUA6NLw09EwE0CqkOc4q9oUmW1yo/edit?usp=sharing"",""กำแพงเพชร!J541"")"),0)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IFERROR(__xludf.DUMMYFUNCTION("IMPORTRANGE(""https://docs.google.com/spreadsheets/d/11923uPwbBZFjjGgGUA6NLw09EwE0CqkOc4q9oUmW1yo/edit?usp=sharing"",""กำแพงเพชร!J542"")"),0)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IFERROR(__xludf.DUMMYFUNCTION("IMPORTRANGE(""https://docs.google.com/spreadsheets/d/11923uPwbBZFjjGgGUA6NLw09EwE0CqkOc4q9oUmW1yo/edit?usp=sharing"",""กำแพงเพชร!I543"")"),0)</f>
        <v>0</v>
      </c>
      <c r="J648" s="536">
        <f ca="1">IFERROR(__xludf.DUMMYFUNCTION("IMPORTRANGE(""https://docs.google.com/spreadsheets/d/11923uPwbBZFjjGgGUA6NLw09EwE0CqkOc4q9oUmW1yo/edit?usp=sharing"",""กำแพงเพชร!J543"")"),0)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IFERROR(__xludf.DUMMYFUNCTION("IMPORTRANGE(""https://docs.google.com/spreadsheets/d/11923uPwbBZFjjGgGUA6NLw09EwE0CqkOc4q9oUmW1yo/edit?usp=sharing"",""กำแพงเพชร!L543"")"),0)</f>
        <v>0</v>
      </c>
      <c r="M648" s="521"/>
      <c r="N648" s="538">
        <f ca="1">IFERROR(__xludf.DUMMYFUNCTION("IMPORTRANGE(""https://docs.google.com/spreadsheets/d/11923uPwbBZFjjGgGUA6NLw09EwE0CqkOc4q9oUmW1yo/edit?usp=sharing"",""กำแพงเพชร!M543"")"),0)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IFERROR(__xludf.DUMMYFUNCTION("IMPORTRANGE(""https://docs.google.com/spreadsheets/d/11923uPwbBZFjjGgGUA6NLw09EwE0CqkOc4q9oUmW1yo/edit?usp=sharing"",""กำแพงเพชร!I544"")"),0)</f>
        <v>0</v>
      </c>
      <c r="J649" s="536">
        <f ca="1">IFERROR(__xludf.DUMMYFUNCTION("IMPORTRANGE(""https://docs.google.com/spreadsheets/d/11923uPwbBZFjjGgGUA6NLw09EwE0CqkOc4q9oUmW1yo/edit?usp=sharing"",""กำแพงเพชร!J544"")"),0)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IFERROR(__xludf.DUMMYFUNCTION("IMPORTRANGE(""https://docs.google.com/spreadsheets/d/11923uPwbBZFjjGgGUA6NLw09EwE0CqkOc4q9oUmW1yo/edit?usp=sharing"",""กำแพงเพชร!L544"")"),0)</f>
        <v>0</v>
      </c>
      <c r="M649" s="521"/>
      <c r="N649" s="538">
        <f ca="1">IFERROR(__xludf.DUMMYFUNCTION("IMPORTRANGE(""https://docs.google.com/spreadsheets/d/11923uPwbBZFjjGgGUA6NLw09EwE0CqkOc4q9oUmW1yo/edit?usp=sharing"",""กำแพงเพชร!M544"")"),0)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IFERROR(__xludf.DUMMYFUNCTION("IMPORTRANGE(""https://docs.google.com/spreadsheets/d/11923uPwbBZFjjGgGUA6NLw09EwE0CqkOc4q9oUmW1yo/edit?usp=sharing"",""กำแพงเพชร!I545"")"),0)</f>
        <v>0</v>
      </c>
      <c r="J650" s="536">
        <f ca="1">IFERROR(__xludf.DUMMYFUNCTION("IMPORTRANGE(""https://docs.google.com/spreadsheets/d/11923uPwbBZFjjGgGUA6NLw09EwE0CqkOc4q9oUmW1yo/edit?usp=sharing"",""กำแพงเพชร!J545"")"),0)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IFERROR(__xludf.DUMMYFUNCTION("IMPORTRANGE(""https://docs.google.com/spreadsheets/d/11923uPwbBZFjjGgGUA6NLw09EwE0CqkOc4q9oUmW1yo/edit?usp=sharing"",""กำแพงเพชร!L545"")"),0)</f>
        <v>0</v>
      </c>
      <c r="M650" s="521"/>
      <c r="N650" s="538">
        <f ca="1">IFERROR(__xludf.DUMMYFUNCTION("IMPORTRANGE(""https://docs.google.com/spreadsheets/d/11923uPwbBZFjjGgGUA6NLw09EwE0CqkOc4q9oUmW1yo/edit?usp=sharing"",""กำแพงเพชร!M545"")"),0)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IFERROR(__xludf.DUMMYFUNCTION("IMPORTRANGE(""https://docs.google.com/spreadsheets/d/11923uPwbBZFjjGgGUA6NLw09EwE0CqkOc4q9oUmW1yo/edit?usp=sharing"",""กำแพงเพชร!I546"")"),0)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IFERROR(__xludf.DUMMYFUNCTION("IMPORTRANGE(""https://docs.google.com/spreadsheets/d/11923uPwbBZFjjGgGUA6NLw09EwE0CqkOc4q9oUmW1yo/edit?usp=sharing"",""กำแพงเพชร!L546"")"),0)</f>
        <v>0</v>
      </c>
      <c r="M651" s="521"/>
      <c r="N651" s="538">
        <f ca="1">IFERROR(__xludf.DUMMYFUNCTION("IMPORTRANGE(""https://docs.google.com/spreadsheets/d/11923uPwbBZFjjGgGUA6NLw09EwE0CqkOc4q9oUmW1yo/edit?usp=sharing"",""กำแพงเพชร!M546"")"),0)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IFERROR(__xludf.DUMMYFUNCTION("IMPORTRANGE(""https://docs.google.com/spreadsheets/d/11923uPwbBZFjjGgGUA6NLw09EwE0CqkOc4q9oUmW1yo/edit?usp=sharing"",""กำแพงเพชร!J547"")"),0)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IFERROR(__xludf.DUMMYFUNCTION("IMPORTRANGE(""https://docs.google.com/spreadsheets/d/11923uPwbBZFjjGgGUA6NLw09EwE0CqkOc4q9oUmW1yo/edit?usp=sharing"",""กำแพงเพชร!J548"")"),0)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IFERROR(__xludf.DUMMYFUNCTION("IMPORTRANGE(""https://docs.google.com/spreadsheets/d/11923uPwbBZFjjGgGUA6NLw09EwE0CqkOc4q9oUmW1yo/edit?usp=sharing"",""กำแพงเพชร!J550"")"),0)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IFERROR(__xludf.DUMMYFUNCTION("IMPORTRANGE(""https://docs.google.com/spreadsheets/d/11923uPwbBZFjjGgGUA6NLw09EwE0CqkOc4q9oUmW1yo/edit?usp=sharing"",""กำแพงเพชร!J551"")"),0)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IFERROR(__xludf.DUMMYFUNCTION("IMPORTRANGE(""https://docs.google.com/spreadsheets/d/11923uPwbBZFjjGgGUA6NLw09EwE0CqkOc4q9oUmW1yo/edit?usp=sharing"",""กำแพงเพชร!J552"")"),0)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IFERROR(__xludf.DUMMYFUNCTION("IMPORTRANGE(""https://docs.google.com/spreadsheets/d/11923uPwbBZFjjGgGUA6NLw09EwE0CqkOc4q9oUmW1yo/edit?usp=sharing"",""กำแพงเพชร!J553"")"),0)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IFERROR(__xludf.DUMMYFUNCTION("IMPORTRANGE(""https://docs.google.com/spreadsheets/d/11923uPwbBZFjjGgGUA6NLw09EwE0CqkOc4q9oUmW1yo/edit?usp=sharing"",""กำแพงเพชร!J554"")"),0)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IFERROR(__xludf.DUMMYFUNCTION("IMPORTRANGE(""https://docs.google.com/spreadsheets/d/11923uPwbBZFjjGgGUA6NLw09EwE0CqkOc4q9oUmW1yo/edit?usp=sharing"",""กำแพงเพชร!J555"")"),0)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IFERROR(__xludf.DUMMYFUNCTION("IMPORTRANGE(""https://docs.google.com/spreadsheets/d/11923uPwbBZFjjGgGUA6NLw09EwE0CqkOc4q9oUmW1yo/edit?usp=sharing"",""กำแพงเพชร!J556"")"),0)</f>
        <v>0</v>
      </c>
      <c r="K661" s="537"/>
      <c r="L661" s="522">
        <f ca="1">IFERROR(__xludf.DUMMYFUNCTION("IMPORTRANGE(""https://docs.google.com/spreadsheets/d/11923uPwbBZFjjGgGUA6NLw09EwE0CqkOc4q9oUmW1yo/edit?usp=sharing"",""กำแพงเพชร!L556"")"),0)</f>
        <v>0</v>
      </c>
      <c r="M661" s="521"/>
      <c r="N661" s="538">
        <f ca="1">IFERROR(__xludf.DUMMYFUNCTION("IMPORTRANGE(""https://docs.google.com/spreadsheets/d/11923uPwbBZFjjGgGUA6NLw09EwE0CqkOc4q9oUmW1yo/edit?usp=sharing"",""กำแพงเพชร!M556"")"),0)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IFERROR(__xludf.DUMMYFUNCTION("IMPORTRANGE(""https://docs.google.com/spreadsheets/d/11923uPwbBZFjjGgGUA6NLw09EwE0CqkOc4q9oUmW1yo/edit?usp=sharing"",""กำแพงเพชร!J557"")"),0)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IFERROR(__xludf.DUMMYFUNCTION("IMPORTRANGE(""https://docs.google.com/spreadsheets/d/11923uPwbBZFjjGgGUA6NLw09EwE0CqkOc4q9oUmW1yo/edit?usp=sharing"",""กำแพงเพชร!I558"")"),0)</f>
        <v>0</v>
      </c>
      <c r="J663" s="536">
        <f ca="1">IFERROR(__xludf.DUMMYFUNCTION("IMPORTRANGE(""https://docs.google.com/spreadsheets/d/11923uPwbBZFjjGgGUA6NLw09EwE0CqkOc4q9oUmW1yo/edit?usp=sharing"",""กำแพงเพชร!J558"")"),0)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IFERROR(__xludf.DUMMYFUNCTION("IMPORTRANGE(""https://docs.google.com/spreadsheets/d/11923uPwbBZFjjGgGUA6NLw09EwE0CqkOc4q9oUmW1yo/edit?usp=sharing"",""กำแพงเพชร!I560"")"),0)</f>
        <v>0</v>
      </c>
      <c r="J665" s="536">
        <f ca="1">IFERROR(__xludf.DUMMYFUNCTION("IMPORTRANGE(""https://docs.google.com/spreadsheets/d/11923uPwbBZFjjGgGUA6NLw09EwE0CqkOc4q9oUmW1yo/edit?usp=sharing"",""กำแพงเพชร!J560"")"),0)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IFERROR(__xludf.DUMMYFUNCTION("IMPORTRANGE(""https://docs.google.com/spreadsheets/d/11923uPwbBZFjjGgGUA6NLw09EwE0CqkOc4q9oUmW1yo/edit?usp=sharing"",""กำแพงเพชร!L560"")"),0)</f>
        <v>0</v>
      </c>
      <c r="M665" s="521"/>
      <c r="N665" s="538">
        <f ca="1">IFERROR(__xludf.DUMMYFUNCTION("IMPORTRANGE(""https://docs.google.com/spreadsheets/d/11923uPwbBZFjjGgGUA6NLw09EwE0CqkOc4q9oUmW1yo/edit?usp=sharing"",""กำแพงเพชร!M560"")"),0)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IFERROR(__xludf.DUMMYFUNCTION("IMPORTRANGE(""https://docs.google.com/spreadsheets/d/11923uPwbBZFjjGgGUA6NLw09EwE0CqkOc4q9oUmW1yo/edit?usp=sharing"",""กำแพงเพชร!J561"")"),0)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IFERROR(__xludf.DUMMYFUNCTION("IMPORTRANGE(""https://docs.google.com/spreadsheets/d/11923uPwbBZFjjGgGUA6NLw09EwE0CqkOc4q9oUmW1yo/edit?usp=sharing"",""กำแพงเพชร!J562"")"),0)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IFERROR(__xludf.DUMMYFUNCTION("IMPORTRANGE(""https://docs.google.com/spreadsheets/d/11923uPwbBZFjjGgGUA6NLw09EwE0CqkOc4q9oUmW1yo/edit?usp=sharing"",""กำแพงเพชร!I563"")"),0)</f>
        <v>0</v>
      </c>
      <c r="J668" s="536">
        <f ca="1">IFERROR(__xludf.DUMMYFUNCTION("IMPORTRANGE(""https://docs.google.com/spreadsheets/d/11923uPwbBZFjjGgGUA6NLw09EwE0CqkOc4q9oUmW1yo/edit?usp=sharing"",""กำแพงเพชร!J563"")"),0)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IFERROR(__xludf.DUMMYFUNCTION("IMPORTRANGE(""https://docs.google.com/spreadsheets/d/11923uPwbBZFjjGgGUA6NLw09EwE0CqkOc4q9oUmW1yo/edit?usp=sharing"",""กำแพงเพชร!L563"")"),0)</f>
        <v>0</v>
      </c>
      <c r="M668" s="521"/>
      <c r="N668" s="538">
        <f ca="1">IFERROR(__xludf.DUMMYFUNCTION("IMPORTRANGE(""https://docs.google.com/spreadsheets/d/11923uPwbBZFjjGgGUA6NLw09EwE0CqkOc4q9oUmW1yo/edit?usp=sharing"",""กำแพงเพชร!M563"")"),0)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IFERROR(__xludf.DUMMYFUNCTION("IMPORTRANGE(""https://docs.google.com/spreadsheets/d/11923uPwbBZFjjGgGUA6NLw09EwE0CqkOc4q9oUmW1yo/edit?usp=sharing"",""กำแพงเพชร!J564"")"),0)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IFERROR(__xludf.DUMMYFUNCTION("IMPORTRANGE(""https://docs.google.com/spreadsheets/d/11923uPwbBZFjjGgGUA6NLw09EwE0CqkOc4q9oUmW1yo/edit?usp=sharing"",""กำแพงเพชร!J565"")"),0)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IFERROR(__xludf.DUMMYFUNCTION("IMPORTRANGE(""https://docs.google.com/spreadsheets/d/11923uPwbBZFjjGgGUA6NLw09EwE0CqkOc4q9oUmW1yo/edit?usp=sharing"",""กำแพงเพชร!I566"")"),0)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IFERROR(__xludf.DUMMYFUNCTION("IMPORTRANGE(""https://docs.google.com/spreadsheets/d/11923uPwbBZFjjGgGUA6NLw09EwE0CqkOc4q9oUmW1yo/edit?usp=sharing"",""กำแพงเพชร!L566"")"),0)</f>
        <v>0</v>
      </c>
      <c r="M671" s="521"/>
      <c r="N671" s="538">
        <f ca="1">IFERROR(__xludf.DUMMYFUNCTION("IMPORTRANGE(""https://docs.google.com/spreadsheets/d/11923uPwbBZFjjGgGUA6NLw09EwE0CqkOc4q9oUmW1yo/edit?usp=sharing"",""กำแพงเพชร!M566"")"),0)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IFERROR(__xludf.DUMMYFUNCTION("IMPORTRANGE(""https://docs.google.com/spreadsheets/d/11923uPwbBZFjjGgGUA6NLw09EwE0CqkOc4q9oUmW1yo/edit?usp=sharing"",""กำแพงเพชร!J567"")"),0)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IFERROR(__xludf.DUMMYFUNCTION("IMPORTRANGE(""https://docs.google.com/spreadsheets/d/11923uPwbBZFjjGgGUA6NLw09EwE0CqkOc4q9oUmW1yo/edit?usp=sharing"",""กำแพงเพชร!J568"")"),0)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IFERROR(__xludf.DUMMYFUNCTION("IMPORTRANGE(""https://docs.google.com/spreadsheets/d/11923uPwbBZFjjGgGUA6NLw09EwE0CqkOc4q9oUmW1yo/edit?usp=sharing"",""กำแพงเพชร!J569"")"),0)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IFERROR(__xludf.DUMMYFUNCTION("IMPORTRANGE(""https://docs.google.com/spreadsheets/d/11923uPwbBZFjjGgGUA6NLw09EwE0CqkOc4q9oUmW1yo/edit?usp=sharing"",""กำแพงเพชร!J570"")"),0)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IFERROR(__xludf.DUMMYFUNCTION("IMPORTRANGE(""https://docs.google.com/spreadsheets/d/11923uPwbBZFjjGgGUA6NLw09EwE0CqkOc4q9oUmW1yo/edit?usp=sharing"",""กำแพงเพชร!J571"")"),0)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IFERROR(__xludf.DUMMYFUNCTION("IMPORTRANGE(""https://docs.google.com/spreadsheets/d/11923uPwbBZFjjGgGUA6NLw09EwE0CqkOc4q9oUmW1yo/edit?usp=sharing"",""กำแพงเพชร!J572"")"),0)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7357159</v>
      </c>
      <c r="M8" s="23">
        <f t="shared" ca="1" si="0"/>
        <v>4789411</v>
      </c>
      <c r="N8" s="23">
        <f t="shared" ca="1" si="0"/>
        <v>5114917.1500000004</v>
      </c>
      <c r="O8" s="22">
        <f t="shared" ref="O8:O16" ca="1" si="1">IF(L8&gt;0,N8*100/L8,0)</f>
        <v>69.52299318255865</v>
      </c>
      <c r="P8" s="22">
        <f t="shared" ref="P8:P16" ca="1" si="2">IF(M8&gt;0,N8*100/M8,0)</f>
        <v>106.79637120305608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7357159</v>
      </c>
      <c r="M10" s="30">
        <f t="shared" ca="1" si="4"/>
        <v>4789411</v>
      </c>
      <c r="N10" s="30">
        <f t="shared" ca="1" si="4"/>
        <v>5114917.1500000004</v>
      </c>
      <c r="O10" s="29">
        <f t="shared" ca="1" si="1"/>
        <v>69.52299318255865</v>
      </c>
      <c r="P10" s="29">
        <f t="shared" ca="1" si="2"/>
        <v>106.79637120305608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6967359</v>
      </c>
      <c r="M12" s="39">
        <f t="shared" ca="1" si="6"/>
        <v>4604611</v>
      </c>
      <c r="N12" s="39">
        <f t="shared" ca="1" si="6"/>
        <v>4930117.1500000004</v>
      </c>
      <c r="O12" s="39">
        <f t="shared" ca="1" si="1"/>
        <v>70.760199811722075</v>
      </c>
      <c r="P12" s="39">
        <f t="shared" ca="1" si="2"/>
        <v>107.06913461310849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2745700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4221659</v>
      </c>
      <c r="M14" s="39">
        <f t="shared" si="8"/>
        <v>0</v>
      </c>
      <c r="N14" s="39">
        <f t="shared" ca="1" si="8"/>
        <v>1267653.5399999998</v>
      </c>
      <c r="O14" s="39">
        <f t="shared" ca="1" si="1"/>
        <v>30.027378810083899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389800</v>
      </c>
      <c r="M16" s="39">
        <f t="shared" ca="1" si="10"/>
        <v>184800</v>
      </c>
      <c r="N16" s="39">
        <f t="shared" ca="1" si="10"/>
        <v>184800</v>
      </c>
      <c r="O16" s="50">
        <f t="shared" ca="1" si="1"/>
        <v>47.408927655207798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4886340</v>
      </c>
      <c r="M18" s="23">
        <f t="shared" ca="1" si="11"/>
        <v>4789411</v>
      </c>
      <c r="N18" s="23">
        <f t="shared" ca="1" si="11"/>
        <v>3847263.6100000003</v>
      </c>
      <c r="O18" s="22">
        <f t="shared" ref="O18:O20" ca="1" si="12">IF(L18&gt;0,N18*100/L18,0)</f>
        <v>78.735077992935416</v>
      </c>
      <c r="P18" s="22">
        <f t="shared" ref="P18:P26" ca="1" si="13">IF(M18&gt;0,N18*100/M18,0)</f>
        <v>80.328533299814964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4886340</v>
      </c>
      <c r="M20" s="30">
        <f t="shared" ca="1" si="15"/>
        <v>4789411</v>
      </c>
      <c r="N20" s="30">
        <f t="shared" ca="1" si="15"/>
        <v>3847263.6100000003</v>
      </c>
      <c r="O20" s="29">
        <f t="shared" ca="1" si="12"/>
        <v>78.735077992935416</v>
      </c>
      <c r="P20" s="29">
        <f t="shared" ca="1" si="13"/>
        <v>80.328533299814964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4496540</v>
      </c>
      <c r="M22" s="42">
        <f t="shared" ca="1" si="18"/>
        <v>4604611</v>
      </c>
      <c r="N22" s="39">
        <f t="shared" ca="1" si="18"/>
        <v>3662463.6100000003</v>
      </c>
      <c r="O22" s="39">
        <f t="shared" ca="1" si="17"/>
        <v>81.450706765646487</v>
      </c>
      <c r="P22" s="39">
        <f t="shared" ca="1" si="13"/>
        <v>79.539044883487463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2745700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1750840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389800</v>
      </c>
      <c r="M26" s="50">
        <f t="shared" ca="1" si="22"/>
        <v>184800</v>
      </c>
      <c r="N26" s="50">
        <f t="shared" ca="1" si="22"/>
        <v>184800</v>
      </c>
      <c r="O26" s="50">
        <f t="shared" ca="1" si="17"/>
        <v>47.408927655207798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2470819</v>
      </c>
      <c r="M28" s="23">
        <f t="shared" si="23"/>
        <v>0</v>
      </c>
      <c r="N28" s="23">
        <f t="shared" ca="1" si="23"/>
        <v>1267653.5399999998</v>
      </c>
      <c r="O28" s="22">
        <f t="shared" ref="O28:O30" ca="1" si="24">IF(L28&gt;0,N28*100/L28,0)</f>
        <v>51.30499401210691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2470819</v>
      </c>
      <c r="M30" s="30">
        <f t="shared" si="27"/>
        <v>0</v>
      </c>
      <c r="N30" s="30">
        <f t="shared" ca="1" si="27"/>
        <v>1267653.5399999998</v>
      </c>
      <c r="O30" s="29">
        <f t="shared" ca="1" si="24"/>
        <v>51.30499401210691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2470819</v>
      </c>
      <c r="M32" s="39">
        <f t="shared" si="30"/>
        <v>0</v>
      </c>
      <c r="N32" s="39">
        <f t="shared" ca="1" si="30"/>
        <v>1267653.5399999998</v>
      </c>
      <c r="O32" s="39">
        <f t="shared" ca="1" si="29"/>
        <v>51.30499401210691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2470819</v>
      </c>
      <c r="M34" s="39">
        <f t="shared" si="32"/>
        <v>0</v>
      </c>
      <c r="N34" s="39">
        <f t="shared" ca="1" si="32"/>
        <v>1267653.5399999998</v>
      </c>
      <c r="O34" s="39">
        <f t="shared" ca="1" si="29"/>
        <v>51.30499401210691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4886340</v>
      </c>
      <c r="M37" s="55">
        <f t="shared" ca="1" si="33"/>
        <v>4789411</v>
      </c>
      <c r="N37" s="55">
        <f t="shared" ca="1" si="33"/>
        <v>3847263.6100000003</v>
      </c>
      <c r="O37" s="56">
        <f t="shared" ca="1" si="29"/>
        <v>78.735077992935416</v>
      </c>
      <c r="P37" s="56">
        <f t="shared" ca="1" si="25"/>
        <v>80.328533299814964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750700</v>
      </c>
      <c r="N41" s="79">
        <f t="shared" ca="1" si="34"/>
        <v>636043.09</v>
      </c>
      <c r="O41" s="78">
        <f t="shared" ref="O41:O43" ca="1" si="35">IF(L41&gt;0,N41*100/L41,0)</f>
        <v>84.726667110696681</v>
      </c>
      <c r="P41" s="78">
        <f t="shared" ref="P41:P43" ca="1" si="36">IF(M41&gt;0,N41*100/M41,0)</f>
        <v>84.726667110696681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750700</v>
      </c>
      <c r="N43" s="79">
        <f t="shared" ca="1" si="38"/>
        <v>636043.09</v>
      </c>
      <c r="O43" s="78">
        <f t="shared" ca="1" si="35"/>
        <v>84.726667110696681</v>
      </c>
      <c r="P43" s="78">
        <f t="shared" ca="1" si="36"/>
        <v>84.726667110696681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750700</v>
      </c>
      <c r="M45" s="50">
        <f ca="1">IFERROR(__xludf.DUMMYFUNCTION("IMPORTRANGE(""https://docs.google.com/spreadsheets/d/1Yj_ptqi66GCucihVvJfMjLAmec39IyEx_6qawtMGysU/edit?usp=sharing"",""สบก!Q21"")"),750700)</f>
        <v>750700</v>
      </c>
      <c r="N45" s="50">
        <f ca="1">IFERROR(__xludf.DUMMYFUNCTION("IMPORTRANGE(""https://docs.google.com/spreadsheets/d/1Yj_ptqi66GCucihVvJfMjLAmec39IyEx_6qawtMGysU/edit?usp=sharing"",""สบก!R21"")"),636043.09)</f>
        <v>636043.09</v>
      </c>
      <c r="O45" s="39">
        <f ca="1">IF(L45&gt;0,N45*100/L45,0)</f>
        <v>84.726667110696681</v>
      </c>
      <c r="P45" s="39">
        <f ca="1">IF(M45&gt;0,N45*100/M45,0)</f>
        <v>84.726667110696681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IFERROR(__xludf.DUMMYFUNCTION("IMPORTRANGE(""https://docs.google.com/spreadsheets/d/1Yj_ptqi66GCucihVvJfMjLAmec39IyEx_6qawtMGysU/edit?usp=sharing"",""สบก!M21"")"),750700)</f>
        <v>750700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700000</v>
      </c>
      <c r="M53" s="121">
        <f t="shared" ca="1" si="39"/>
        <v>726696</v>
      </c>
      <c r="N53" s="121">
        <f t="shared" ca="1" si="39"/>
        <v>595172.39</v>
      </c>
      <c r="O53" s="120">
        <f t="shared" ref="O53:O55" ca="1" si="40">IF(L53&gt;0,N53*100/L53,0)</f>
        <v>85.024627142857142</v>
      </c>
      <c r="P53" s="120">
        <f t="shared" ref="P53:P55" ca="1" si="41">IF(M53&gt;0,N53*100/M53,0)</f>
        <v>81.901151237931686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700000</v>
      </c>
      <c r="M55" s="121">
        <f t="shared" ca="1" si="43"/>
        <v>726696</v>
      </c>
      <c r="N55" s="121">
        <f t="shared" ca="1" si="43"/>
        <v>595172.39</v>
      </c>
      <c r="O55" s="120">
        <f t="shared" ca="1" si="40"/>
        <v>85.024627142857142</v>
      </c>
      <c r="P55" s="120">
        <f t="shared" ca="1" si="41"/>
        <v>81.901151237931686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700000</v>
      </c>
      <c r="M57" s="50">
        <f ca="1">IFERROR(__xludf.DUMMYFUNCTION("IMPORTRANGE(""https://docs.google.com/spreadsheets/d/1Yj_ptqi66GCucihVvJfMjLAmec39IyEx_6qawtMGysU/edit?usp=sharing"",""สบก!Z21"")"),726696)</f>
        <v>726696</v>
      </c>
      <c r="N57" s="50">
        <f ca="1">IFERROR(__xludf.DUMMYFUNCTION("IMPORTRANGE(""https://docs.google.com/spreadsheets/d/1Yj_ptqi66GCucihVvJfMjLAmec39IyEx_6qawtMGysU/edit?usp=sharing"",""สบก!AA21"")"),595172.39)</f>
        <v>595172.39</v>
      </c>
      <c r="O57" s="39">
        <f ca="1">IF(L57&gt;0,N57*100/L57,0)</f>
        <v>85.024627142857142</v>
      </c>
      <c r="P57" s="39">
        <f ca="1">IF(M57&gt;0,N57*100/M57,0)</f>
        <v>81.901151237931686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IFERROR(__xludf.DUMMYFUNCTION("IMPORTRANGE(""https://docs.google.com/spreadsheets/d/1Yj_ptqi66GCucihVvJfMjLAmec39IyEx_6qawtMGysU/edit?usp=sharing"",""สบก!V21"")"),700000)</f>
        <v>700000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753000</v>
      </c>
      <c r="M66" s="152">
        <f t="shared" ca="1" si="45"/>
        <v>584720</v>
      </c>
      <c r="N66" s="152">
        <f t="shared" ca="1" si="45"/>
        <v>491635</v>
      </c>
      <c r="O66" s="151">
        <f t="shared" ref="O66:O68" ca="1" si="46">IF(L66&gt;0,N66*100/L66,0)</f>
        <v>65.290172642762286</v>
      </c>
      <c r="P66" s="151">
        <f t="shared" ref="P66:P68" ca="1" si="47">IF(M66&gt;0,N66*100/M66,0)</f>
        <v>84.080414557394988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753000</v>
      </c>
      <c r="M68" s="88">
        <f t="shared" ca="1" si="49"/>
        <v>584720</v>
      </c>
      <c r="N68" s="88">
        <f t="shared" ca="1" si="49"/>
        <v>491635</v>
      </c>
      <c r="O68" s="156">
        <f t="shared" ca="1" si="46"/>
        <v>65.290172642762286</v>
      </c>
      <c r="P68" s="156">
        <f t="shared" ca="1" si="47"/>
        <v>84.080414557394988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IFERROR(__xludf.DUMMYFUNCTION("IMPORTRANGE(""https://docs.google.com/spreadsheets/d/1Yj_ptqi66GCucihVvJfMjLAmec39IyEx_6qawtMGysU/edit?usp=sharing"",""สบก!AI21"")"),584720)</f>
        <v>584720</v>
      </c>
      <c r="N70" s="168">
        <f ca="1">IFERROR(__xludf.DUMMYFUNCTION("IMPORTRANGE(""https://docs.google.com/spreadsheets/d/1Yj_ptqi66GCucihVvJfMjLAmec39IyEx_6qawtMGysU/edit?usp=sharing"",""สบก!AJ21"")"),491635)</f>
        <v>491635</v>
      </c>
      <c r="O70" s="168">
        <f ca="1">IF(L70&gt;0,N70*100/L70,0)</f>
        <v>89.714416058394164</v>
      </c>
      <c r="P70" s="168">
        <f ca="1">IF(M70&gt;0,N70*100/M70,0)</f>
        <v>84.080414557394988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IFERROR(__xludf.DUMMYFUNCTION("IMPORTRANGE(""https://docs.google.com/spreadsheets/d/1Yj_ptqi66GCucihVvJfMjLAmec39IyEx_6qawtMGysU/edit?usp=sharing"",""สบก!AG21"")"),205000)</f>
        <v>205000</v>
      </c>
      <c r="M74" s="50"/>
      <c r="N74" s="50">
        <f ca="1">IFERROR(__xludf.DUMMYFUNCTION("IMPORTRANGE(""https://docs.google.com/spreadsheets/d/1Yj_ptqi66GCucihVvJfMjLAmec39IyEx_6qawtMGysU/edit?usp=sharing"",""สบก!AK21"")"),0)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228615</v>
      </c>
      <c r="O94" s="151">
        <f t="shared" ref="O94:O96" ca="1" si="53">IF(L94&gt;0,N94*100/L94,0)</f>
        <v>71.675131677953345</v>
      </c>
      <c r="P94" s="151">
        <f t="shared" ref="P94:P96" ca="1" si="54">IF(M94&gt;0,N94*100/M94,0)</f>
        <v>71.675131677953345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228615</v>
      </c>
      <c r="O96" s="156">
        <f t="shared" ca="1" si="53"/>
        <v>71.675131677953345</v>
      </c>
      <c r="P96" s="156">
        <f t="shared" ca="1" si="54"/>
        <v>71.675131677953345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IFERROR(__xludf.DUMMYFUNCTION("IMPORTRANGE(""https://docs.google.com/spreadsheets/d/1Yj_ptqi66GCucihVvJfMjLAmec39IyEx_6qawtMGysU/edit?usp=sharing"",""สบก!AR21"")"),134160)</f>
        <v>134160</v>
      </c>
      <c r="N98" s="168">
        <f ca="1">IFERROR(__xludf.DUMMYFUNCTION("IMPORTRANGE(""https://docs.google.com/spreadsheets/d/1Yj_ptqi66GCucihVvJfMjLAmec39IyEx_6qawtMGysU/edit?usp=sharing"",""สบก!AS21"")"),43815)</f>
        <v>43815</v>
      </c>
      <c r="O98" s="168">
        <f ca="1">IF(L98&gt;0,N98*100/L98,0)</f>
        <v>32.658765652951701</v>
      </c>
      <c r="P98" s="168">
        <f ca="1">IF(M98&gt;0,N98*100/M98,0)</f>
        <v>32.658765652951701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627500</v>
      </c>
      <c r="M140" s="152">
        <f t="shared" ca="1" si="64"/>
        <v>629655</v>
      </c>
      <c r="N140" s="152">
        <f t="shared" ca="1" si="64"/>
        <v>477960.47</v>
      </c>
      <c r="O140" s="151">
        <f t="shared" ref="O140:O142" ca="1" si="65">IF(L140&gt;0,N140*100/L140,0)</f>
        <v>76.168999203187255</v>
      </c>
      <c r="P140" s="151">
        <f t="shared" ref="P140:P142" ca="1" si="66">IF(M140&gt;0,N140*100/M140,0)</f>
        <v>75.908310106328074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627500</v>
      </c>
      <c r="M142" s="88">
        <f t="shared" ca="1" si="68"/>
        <v>629655</v>
      </c>
      <c r="N142" s="88">
        <f t="shared" ca="1" si="68"/>
        <v>477960.47</v>
      </c>
      <c r="O142" s="156">
        <f t="shared" ca="1" si="65"/>
        <v>76.168999203187255</v>
      </c>
      <c r="P142" s="156">
        <f t="shared" ca="1" si="66"/>
        <v>75.908310106328074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627500</v>
      </c>
      <c r="M144" s="167">
        <f ca="1">IFERROR(__xludf.DUMMYFUNCTION("IMPORTRANGE(""https://docs.google.com/spreadsheets/d/1Yj_ptqi66GCucihVvJfMjLAmec39IyEx_6qawtMGysU/edit?usp=sharing"",""สบก!BJ21"")"),629655)</f>
        <v>629655</v>
      </c>
      <c r="N144" s="168">
        <f ca="1">IFERROR(__xludf.DUMMYFUNCTION("IMPORTRANGE(""https://docs.google.com/spreadsheets/d/1Yj_ptqi66GCucihVvJfMjLAmec39IyEx_6qawtMGysU/edit?usp=sharing"",""สบก!BK21"")"),477960.47)</f>
        <v>477960.47</v>
      </c>
      <c r="O144" s="168">
        <f ca="1">IF(L144&gt;0,N144*100/L144,0)</f>
        <v>76.168999203187255</v>
      </c>
      <c r="P144" s="168">
        <f ca="1">IF(M144&gt;0,N144*100/M144,0)</f>
        <v>75.908310106328074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IFERROR(__xludf.DUMMYFUNCTION("IMPORTRANGE(""https://docs.google.com/spreadsheets/d/1Yj_ptqi66GCucihVvJfMjLAmec39IyEx_6qawtMGysU/edit?usp=sharing"",""สบก!BG21"")"),164100)</f>
        <v>164100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IFERROR(__xludf.DUMMYFUNCTION("IMPORTRANGE(""https://docs.google.com/spreadsheets/d/11923uPwbBZFjjGgGUA6NLw09EwE0CqkOc4q9oUmW1yo/edit?usp=sharing"",""เชียงราย!J124"")"),40000)</f>
        <v>40000</v>
      </c>
      <c r="K199" s="163">
        <f t="shared" ref="K199:K201" ca="1" si="70">IF(I199&gt;0,J199*100/I199,0)</f>
        <v>66.666666666666671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55930</v>
      </c>
      <c r="O250" s="151">
        <f t="shared" ref="O250:O252" ca="1" si="78">IF(L250&gt;0,N250*100/L250,0)</f>
        <v>78.333333333333329</v>
      </c>
      <c r="P250" s="151">
        <f t="shared" ref="P250:P252" ca="1" si="79">IF(M250&gt;0,N250*100/M250,0)</f>
        <v>78.333333333333329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55930</v>
      </c>
      <c r="O252" s="156">
        <f t="shared" ca="1" si="78"/>
        <v>78.333333333333329</v>
      </c>
      <c r="P252" s="156">
        <f t="shared" ca="1" si="79"/>
        <v>78.333333333333329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IFERROR(__xludf.DUMMYFUNCTION("IMPORTRANGE(""https://docs.google.com/spreadsheets/d/1Yj_ptqi66GCucihVvJfMjLAmec39IyEx_6qawtMGysU/edit?usp=sharing"",""สบก!CB21"")"),71400)</f>
        <v>71400</v>
      </c>
      <c r="N254" s="168">
        <f ca="1">IFERROR(__xludf.DUMMYFUNCTION("IMPORTRANGE(""https://docs.google.com/spreadsheets/d/1Yj_ptqi66GCucihVvJfMjLAmec39IyEx_6qawtMGysU/edit?usp=sharing"",""สบก!CC21"")"),55930)</f>
        <v>55930</v>
      </c>
      <c r="O254" s="168">
        <f ca="1">IF(L254&gt;0,N254*100/L254,0)</f>
        <v>78.333333333333329</v>
      </c>
      <c r="P254" s="168">
        <f ca="1">IF(M254&gt;0,N254*100/M254,0)</f>
        <v>78.333333333333329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61420</v>
      </c>
      <c r="O271" s="151">
        <f t="shared" ref="O271:O273" ca="1" si="84">IF(L271&gt;0,N271*100/L271,0)</f>
        <v>58.107852412488171</v>
      </c>
      <c r="P271" s="151">
        <f t="shared" ref="P271:P273" ca="1" si="85">IF(M271&gt;0,N271*100/M271,0)</f>
        <v>58.107852412488171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61420</v>
      </c>
      <c r="O273" s="156">
        <f t="shared" ca="1" si="84"/>
        <v>58.107852412488171</v>
      </c>
      <c r="P273" s="156">
        <f t="shared" ca="1" si="85"/>
        <v>58.107852412488171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IFERROR(__xludf.DUMMYFUNCTION("IMPORTRANGE(""https://docs.google.com/spreadsheets/d/1Yj_ptqi66GCucihVvJfMjLAmec39IyEx_6qawtMGysU/edit?usp=sharing"",""สบก!CK21"")"),105700)</f>
        <v>105700</v>
      </c>
      <c r="N275" s="168">
        <f ca="1">IFERROR(__xludf.DUMMYFUNCTION("IMPORTRANGE(""https://docs.google.com/spreadsheets/d/1Yj_ptqi66GCucihVvJfMjLAmec39IyEx_6qawtMGysU/edit?usp=sharing"",""สบก!CL21"")"),61420)</f>
        <v>61420</v>
      </c>
      <c r="O275" s="168">
        <f ca="1">IF(L275&gt;0,N275*100/L275,0)</f>
        <v>58.107852412488171</v>
      </c>
      <c r="P275" s="168">
        <f ca="1">IF(M275&gt;0,N275*100/M275,0)</f>
        <v>58.107852412488171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IFERROR(__xludf.DUMMYFUNCTION("IMPORTRANGE(""https://docs.google.com/spreadsheets/d/11923uPwbBZFjjGgGUA6NLw09EwE0CqkOc4q9oUmW1yo/edit?usp=sharing"",""เชียงราย!J228"")"),599)</f>
        <v>599</v>
      </c>
      <c r="K328" s="317">
        <f ca="1">IF(I328&gt;0,J328*100/I328,0)</f>
        <v>88.088235294117652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1538870</v>
      </c>
      <c r="M329" s="152">
        <f t="shared" ca="1" si="98"/>
        <v>1581370</v>
      </c>
      <c r="N329" s="152">
        <f t="shared" ca="1" si="98"/>
        <v>1280277.6599999999</v>
      </c>
      <c r="O329" s="151">
        <f t="shared" ref="O329:O331" ca="1" si="99">IF(L329&gt;0,N329*100/L329,0)</f>
        <v>83.195959372786518</v>
      </c>
      <c r="P329" s="151">
        <f t="shared" ref="P329:P331" ca="1" si="100">IF(M329&gt;0,N329*100/M329,0)</f>
        <v>80.960032124044332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1538870</v>
      </c>
      <c r="M331" s="88">
        <f t="shared" ca="1" si="102"/>
        <v>1581370</v>
      </c>
      <c r="N331" s="88">
        <f t="shared" ca="1" si="102"/>
        <v>1280277.6599999999</v>
      </c>
      <c r="O331" s="156">
        <f t="shared" ca="1" si="99"/>
        <v>83.195959372786518</v>
      </c>
      <c r="P331" s="156">
        <f t="shared" ca="1" si="100"/>
        <v>80.960032124044332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IFERROR(__xludf.DUMMYFUNCTION("IMPORTRANGE(""https://docs.google.com/spreadsheets/d/1Yj_ptqi66GCucihVvJfMjLAmec39IyEx_6qawtMGysU/edit?usp=sharing"",""สบก!DL21"")"),1581370)</f>
        <v>1581370</v>
      </c>
      <c r="N333" s="168">
        <f ca="1">IFERROR(__xludf.DUMMYFUNCTION("IMPORTRANGE(""https://docs.google.com/spreadsheets/d/1Yj_ptqi66GCucihVvJfMjLAmec39IyEx_6qawtMGysU/edit?usp=sharing"",""สบก!DM21"")"),1280277.66)</f>
        <v>1280277.6599999999</v>
      </c>
      <c r="O333" s="168">
        <f ca="1">IF(L333&gt;0,N333*100/L333,0)</f>
        <v>83.195959372786518</v>
      </c>
      <c r="P333" s="168">
        <f ca="1">IF(M333&gt;0,N333*100/M333,0)</f>
        <v>80.960032124044332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IFERROR(__xludf.DUMMYFUNCTION("IMPORTRANGE(""https://docs.google.com/spreadsheets/d/11923uPwbBZFjjGgGUA6NLw09EwE0CqkOc4q9oUmW1yo/edit?usp=sharing"",""เชียงราย!J234"")"),470)</f>
        <v>470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IFERROR(__xludf.DUMMYFUNCTION("IMPORTRANGE(""https://docs.google.com/spreadsheets/d/11923uPwbBZFjjGgGUA6NLw09EwE0CqkOc4q9oUmW1yo/edit?usp=sharing"",""เชียงราย!J235"")"),2703.64)</f>
        <v>2703.64</v>
      </c>
      <c r="K340" s="342">
        <f t="shared" ca="1" si="103"/>
        <v>79.518823529411762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IFERROR(__xludf.DUMMYFUNCTION("IMPORTRANGE(""https://docs.google.com/spreadsheets/d/11923uPwbBZFjjGgGUA6NLw09EwE0CqkOc4q9oUmW1yo/edit?usp=sharing"",""เชียงราย!J236"")"),583)</f>
        <v>583</v>
      </c>
      <c r="K341" s="342">
        <f t="shared" ca="1" si="103"/>
        <v>85.735294117647058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IFERROR(__xludf.DUMMYFUNCTION("IMPORTRANGE(""https://docs.google.com/spreadsheets/d/11923uPwbBZFjjGgGUA6NLw09EwE0CqkOc4q9oUmW1yo/edit?usp=sharing"",""เชียงราย!J237"")"),3854.07)</f>
        <v>3854.07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IFERROR(__xludf.DUMMYFUNCTION("IMPORTRANGE(""https://docs.google.com/spreadsheets/d/11923uPwbBZFjjGgGUA6NLw09EwE0CqkOc4q9oUmW1yo/edit?usp=sharing"",""เชียงราย!J240"")"),599)</f>
        <v>599</v>
      </c>
      <c r="K345" s="342">
        <f t="shared" ca="1" si="103"/>
        <v>88.088235294117652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IFERROR(__xludf.DUMMYFUNCTION("IMPORTRANGE(""https://docs.google.com/spreadsheets/d/11923uPwbBZFjjGgGUA6NLw09EwE0CqkOc4q9oUmW1yo/edit?usp=sharing"",""เชียงราย!J241"")"),3971.08999999999)</f>
        <v>3971.0899999999901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IFERROR(__xludf.DUMMYFUNCTION("IMPORTRANGE(""https://docs.google.com/spreadsheets/d/11923uPwbBZFjjGgGUA6NLw09EwE0CqkOc4q9oUmW1yo/edit?usp=sharing"",""เชียงราย!L242"")"),2470819)</f>
        <v>2470819</v>
      </c>
      <c r="M347" s="357"/>
      <c r="N347" s="357">
        <f ca="1">IFERROR(__xludf.DUMMYFUNCTION("IMPORTRANGE(""https://docs.google.com/spreadsheets/d/11923uPwbBZFjjGgGUA6NLw09EwE0CqkOc4q9oUmW1yo/edit?usp=sharing"",""เชียงราย!M242"")"),1267653.53999999)</f>
        <v>1267653.53999999</v>
      </c>
      <c r="O347" s="357">
        <f ca="1">+IF(L347&gt;0,N347*100/L347,0)</f>
        <v>51.304994012106512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IFERROR(__xludf.DUMMYFUNCTION("IMPORTRANGE(""https://docs.google.com/spreadsheets/d/11923uPwbBZFjjGgGUA6NLw09EwE0CqkOc4q9oUmW1yo/edit?usp=sharing"",""เชียงราย!M244"")"),276011)</f>
        <v>276011</v>
      </c>
      <c r="O349" s="372">
        <f ca="1">+IF(L349&gt;0,N349*100/L349,0)</f>
        <v>51.862269823374675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IFERROR(__xludf.DUMMYFUNCTION("IMPORTRANGE(""https://docs.google.com/spreadsheets/d/11923uPwbBZFjjGgGUA6NLw09EwE0CqkOc4q9oUmW1yo/edit?usp=sharing"",""เชียงราย!M247"")"),276011)</f>
        <v>276011</v>
      </c>
      <c r="O352" s="165">
        <f t="shared" ca="1" si="105"/>
        <v>51.862269823374675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IFERROR(__xludf.DUMMYFUNCTION("IMPORTRANGE(""https://docs.google.com/spreadsheets/d/11923uPwbBZFjjGgGUA6NLw09EwE0CqkOc4q9oUmW1yo/edit?usp=sharing"",""เชียงราย!M249"")"),276011)</f>
        <v>276011</v>
      </c>
      <c r="O354" s="168">
        <f t="shared" ca="1" si="105"/>
        <v>51.862269823374675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IFERROR(__xludf.DUMMYFUNCTION("IMPORTRANGE(""https://docs.google.com/spreadsheets/d/11923uPwbBZFjjGgGUA6NLw09EwE0CqkOc4q9oUmW1yo/edit?usp=sharing"",""เชียงราย!M252"")"),79450)</f>
        <v>79450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IFERROR(__xludf.DUMMYFUNCTION("IMPORTRANGE(""https://docs.google.com/spreadsheets/d/11923uPwbBZFjjGgGUA6NLw09EwE0CqkOc4q9oUmW1yo/edit?usp=sharing"",""เชียงราย!M253"")"),196561)</f>
        <v>196561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IFERROR(__xludf.DUMMYFUNCTION("IMPORTRANGE(""https://docs.google.com/spreadsheets/d/11923uPwbBZFjjGgGUA6NLw09EwE0CqkOc4q9oUmW1yo/edit?usp=sharing"",""เชียงราย!M275"")"),138000)</f>
        <v>138000</v>
      </c>
      <c r="O380" s="372">
        <f ca="1">+IF(L380&gt;0,N380*100/L380,0)</f>
        <v>29.990872343199896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IFERROR(__xludf.DUMMYFUNCTION("IMPORTRANGE(""https://docs.google.com/spreadsheets/d/11923uPwbBZFjjGgGUA6NLw09EwE0CqkOc4q9oUmW1yo/edit?usp=sharing"",""เชียงราย!M278"")"),138000)</f>
        <v>138000</v>
      </c>
      <c r="O383" s="165">
        <f t="shared" ca="1" si="109"/>
        <v>29.990872343199896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IFERROR(__xludf.DUMMYFUNCTION("IMPORTRANGE(""https://docs.google.com/spreadsheets/d/11923uPwbBZFjjGgGUA6NLw09EwE0CqkOc4q9oUmW1yo/edit?usp=sharing"",""เชียงราย!M280"")"),138000)</f>
        <v>138000</v>
      </c>
      <c r="O385" s="168">
        <f t="shared" ca="1" si="109"/>
        <v>29.990872343199896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IFERROR(__xludf.DUMMYFUNCTION("IMPORTRANGE(""https://docs.google.com/spreadsheets/d/11923uPwbBZFjjGgGUA6NLw09EwE0CqkOc4q9oUmW1yo/edit?usp=sharing"",""เชียงราย!M284"")"),27000)</f>
        <v>27000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IFERROR(__xludf.DUMMYFUNCTION("IMPORTRANGE(""https://docs.google.com/spreadsheets/d/11923uPwbBZFjjGgGUA6NLw09EwE0CqkOc4q9oUmW1yo/edit?usp=sharing"",""เชียงราย!M296"")"),194774.95)</f>
        <v>194774.95</v>
      </c>
      <c r="O401" s="372">
        <f ca="1">+IF(L401&gt;0,N401*100/L401,0)</f>
        <v>99.425701888718734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IFERROR(__xludf.DUMMYFUNCTION("IMPORTRANGE(""https://docs.google.com/spreadsheets/d/11923uPwbBZFjjGgGUA6NLw09EwE0CqkOc4q9oUmW1yo/edit?usp=sharing"",""เชียงราย!M299"")"),194774.95)</f>
        <v>194774.95</v>
      </c>
      <c r="O404" s="168">
        <f t="shared" ca="1" si="112"/>
        <v>99.425701888718734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IFERROR(__xludf.DUMMYFUNCTION("IMPORTRANGE(""https://docs.google.com/spreadsheets/d/11923uPwbBZFjjGgGUA6NLw09EwE0CqkOc4q9oUmW1yo/edit?usp=sharing"",""เชียงราย!M301"")"),194774.95)</f>
        <v>194774.95</v>
      </c>
      <c r="O406" s="168">
        <f t="shared" ca="1" si="112"/>
        <v>99.425701888718734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IFERROR(__xludf.DUMMYFUNCTION("IMPORTRANGE(""https://docs.google.com/spreadsheets/d/11923uPwbBZFjjGgGUA6NLw09EwE0CqkOc4q9oUmW1yo/edit?usp=sharing"",""เชียงราย!M302"")"),130082)</f>
        <v>130082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IFERROR(__xludf.DUMMYFUNCTION("IMPORTRANGE(""https://docs.google.com/spreadsheets/d/11923uPwbBZFjjGgGUA6NLw09EwE0CqkOc4q9oUmW1yo/edit?usp=sharing"",""เชียงราย!M303"")"),41074.95)</f>
        <v>41074.949999999997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IFERROR(__xludf.DUMMYFUNCTION("IMPORTRANGE(""https://docs.google.com/spreadsheets/d/11923uPwbBZFjjGgGUA6NLw09EwE0CqkOc4q9oUmW1yo/edit?usp=sharing"",""เชียงราย!M305"")"),23618)</f>
        <v>23618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IFERROR(__xludf.DUMMYFUNCTION("IMPORTRANGE(""https://docs.google.com/spreadsheets/d/11923uPwbBZFjjGgGUA6NLw09EwE0CqkOc4q9oUmW1yo/edit?usp=sharing"",""เชียงราย!M330"")"),125031)</f>
        <v>125031</v>
      </c>
      <c r="O435" s="411">
        <f t="shared" ref="O435:O439" ca="1" si="114">+IF(L435&gt;0,N435*100/L435,0)</f>
        <v>78.24217772215269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IFERROR(__xludf.DUMMYFUNCTION("IMPORTRANGE(""https://docs.google.com/spreadsheets/d/11923uPwbBZFjjGgGUA6NLw09EwE0CqkOc4q9oUmW1yo/edit?usp=sharing"",""เชียงราย!M332"")"),125031)</f>
        <v>125031</v>
      </c>
      <c r="O437" s="168">
        <f t="shared" ca="1" si="114"/>
        <v>78.24217772215269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IFERROR(__xludf.DUMMYFUNCTION("IMPORTRANGE(""https://docs.google.com/spreadsheets/d/11923uPwbBZFjjGgGUA6NLw09EwE0CqkOc4q9oUmW1yo/edit?usp=sharing"",""เชียงราย!M334"")"),125031)</f>
        <v>125031</v>
      </c>
      <c r="O439" s="168">
        <f t="shared" ca="1" si="114"/>
        <v>78.24217772215269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IFERROR(__xludf.DUMMYFUNCTION("IMPORTRANGE(""https://docs.google.com/spreadsheets/d/11923uPwbBZFjjGgGUA6NLw09EwE0CqkOc4q9oUmW1yo/edit?usp=sharing"",""เชียงราย!M335"")"),104000)</f>
        <v>104000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IFERROR(__xludf.DUMMYFUNCTION("IMPORTRANGE(""https://docs.google.com/spreadsheets/d/11923uPwbBZFjjGgGUA6NLw09EwE0CqkOc4q9oUmW1yo/edit?usp=sharing"",""เชียงราย!M338"")"),21031)</f>
        <v>21031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IFERROR(__xludf.DUMMYFUNCTION("IMPORTRANGE(""https://docs.google.com/spreadsheets/d/11923uPwbBZFjjGgGUA6NLw09EwE0CqkOc4q9oUmW1yo/edit?usp=sharing"",""เชียงราย!J350"")"),50050)</f>
        <v>50050</v>
      </c>
      <c r="K455" s="371">
        <f ca="1">IF(I455&gt;0,J455*100/I455,0)</f>
        <v>101.16629272532492</v>
      </c>
      <c r="L455" s="372">
        <f ca="1">IFERROR(__xludf.DUMMYFUNCTION("IMPORTRANGE(""https://docs.google.com/spreadsheets/d/11923uPwbBZFjjGgGUA6NLw09EwE0CqkOc4q9oUmW1yo/edit?usp=sharing"",""เชียงราย!L350"")"),541453)</f>
        <v>541453</v>
      </c>
      <c r="M455" s="372"/>
      <c r="N455" s="372">
        <f ca="1">IFERROR(__xludf.DUMMYFUNCTION("IMPORTRANGE(""https://docs.google.com/spreadsheets/d/11923uPwbBZFjjGgGUA6NLw09EwE0CqkOc4q9oUmW1yo/edit?usp=sharing"",""เชียงราย!M350"")"),219410)</f>
        <v>219410</v>
      </c>
      <c r="O455" s="372">
        <f t="shared" ref="O455:O459" ca="1" si="116">+IF(L455&gt;0,N455*100/L455,0)</f>
        <v>40.522446084886404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IFERROR(__xludf.DUMMYFUNCTION("IMPORTRANGE(""https://docs.google.com/spreadsheets/d/11923uPwbBZFjjGgGUA6NLw09EwE0CqkOc4q9oUmW1yo/edit?usp=sharing"",""เชียงราย!L352"")"),541453)</f>
        <v>541453</v>
      </c>
      <c r="M457" s="165"/>
      <c r="N457" s="168">
        <f ca="1">IFERROR(__xludf.DUMMYFUNCTION("IMPORTRANGE(""https://docs.google.com/spreadsheets/d/11923uPwbBZFjjGgGUA6NLw09EwE0CqkOc4q9oUmW1yo/edit?usp=sharing"",""เชียงราย!M352"")"),219410)</f>
        <v>219410</v>
      </c>
      <c r="O457" s="168">
        <f t="shared" ca="1" si="116"/>
        <v>40.522446084886404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IFERROR(__xludf.DUMMYFUNCTION("IMPORTRANGE(""https://docs.google.com/spreadsheets/d/11923uPwbBZFjjGgGUA6NLw09EwE0CqkOc4q9oUmW1yo/edit?usp=sharing"",""เชียงราย!L354"")"),541453)</f>
        <v>541453</v>
      </c>
      <c r="M459" s="168"/>
      <c r="N459" s="168">
        <f ca="1">IFERROR(__xludf.DUMMYFUNCTION("IMPORTRANGE(""https://docs.google.com/spreadsheets/d/11923uPwbBZFjjGgGUA6NLw09EwE0CqkOc4q9oUmW1yo/edit?usp=sharing"",""เชียงราย!M354"")"),219410)</f>
        <v>219410</v>
      </c>
      <c r="O459" s="168">
        <f t="shared" ca="1" si="116"/>
        <v>40.522446084886404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IFERROR(__xludf.DUMMYFUNCTION("IMPORTRANGE(""https://docs.google.com/spreadsheets/d/11923uPwbBZFjjGgGUA6NLw09EwE0CqkOc4q9oUmW1yo/edit?usp=sharing"",""เชียงราย!M357"")"),62650)</f>
        <v>62650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IFERROR(__xludf.DUMMYFUNCTION("IMPORTRANGE(""https://docs.google.com/spreadsheets/d/11923uPwbBZFjjGgGUA6NLw09EwE0CqkOc4q9oUmW1yo/edit?usp=sharing"",""เชียงราย!J359"")"),50050)</f>
        <v>50050</v>
      </c>
      <c r="K464" s="268">
        <f t="shared" ref="K464:K515" ca="1" si="117">IF(I464&gt;0,J464*100/I464,0)</f>
        <v>101.16629272532492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IFERROR(__xludf.DUMMYFUNCTION("IMPORTRANGE(""https://docs.google.com/spreadsheets/d/11923uPwbBZFjjGgGUA6NLw09EwE0CqkOc4q9oUmW1yo/edit?usp=sharing"",""เชียงราย!J376"")"),50050)</f>
        <v>50050</v>
      </c>
      <c r="K481" s="201">
        <f t="shared" ca="1" si="117"/>
        <v>101.16629272532492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IFERROR(__xludf.DUMMYFUNCTION("IMPORTRANGE(""https://docs.google.com/spreadsheets/d/11923uPwbBZFjjGgGUA6NLw09EwE0CqkOc4q9oUmW1yo/edit?usp=sharing"",""เชียงราย!J377"")"),9930)</f>
        <v>9930</v>
      </c>
      <c r="K482" s="201">
        <f t="shared" ca="1" si="117"/>
        <v>100.8838768668089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IFERROR(__xludf.DUMMYFUNCTION("IMPORTRANGE(""https://docs.google.com/spreadsheets/d/11923uPwbBZFjjGgGUA6NLw09EwE0CqkOc4q9oUmW1yo/edit?usp=sharing"",""เชียงราย!J378"")"),44604)</f>
        <v>44604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IFERROR(__xludf.DUMMYFUNCTION("IMPORTRANGE(""https://docs.google.com/spreadsheets/d/11923uPwbBZFjjGgGUA6NLw09EwE0CqkOc4q9oUmW1yo/edit?usp=sharing"",""เชียงราย!J379"")"),9018)</f>
        <v>9018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IFERROR(__xludf.DUMMYFUNCTION("IMPORTRANGE(""https://docs.google.com/spreadsheets/d/11923uPwbBZFjjGgGUA6NLw09EwE0CqkOc4q9oUmW1yo/edit?usp=sharing"",""เชียงราย!J380"")"),65)</f>
        <v>65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IFERROR(__xludf.DUMMYFUNCTION("IMPORTRANGE(""https://docs.google.com/spreadsheets/d/11923uPwbBZFjjGgGUA6NLw09EwE0CqkOc4q9oUmW1yo/edit?usp=sharing"",""เชียงราย!J381"")"),18)</f>
        <v>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IFERROR(__xludf.DUMMYFUNCTION("IMPORTRANGE(""https://docs.google.com/spreadsheets/d/11923uPwbBZFjjGgGUA6NLw09EwE0CqkOc4q9oUmW1yo/edit?usp=sharing"",""เชียงราย!J382"")"),901)</f>
        <v>901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IFERROR(__xludf.DUMMYFUNCTION("IMPORTRANGE(""https://docs.google.com/spreadsheets/d/11923uPwbBZFjjGgGUA6NLw09EwE0CqkOc4q9oUmW1yo/edit?usp=sharing"",""เชียงราย!J383"")"),171)</f>
        <v>171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IFERROR(__xludf.DUMMYFUNCTION("IMPORTRANGE(""https://docs.google.com/spreadsheets/d/11923uPwbBZFjjGgGUA6NLw09EwE0CqkOc4q9oUmW1yo/edit?usp=sharing"",""เชียงราย!J384"")"),900)</f>
        <v>900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IFERROR(__xludf.DUMMYFUNCTION("IMPORTRANGE(""https://docs.google.com/spreadsheets/d/11923uPwbBZFjjGgGUA6NLw09EwE0CqkOc4q9oUmW1yo/edit?usp=sharing"",""เชียงราย!J385"")"),170)</f>
        <v>170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IFERROR(__xludf.DUMMYFUNCTION("IMPORTRANGE(""https://docs.google.com/spreadsheets/d/11923uPwbBZFjjGgGUA6NLw09EwE0CqkOc4q9oUmW1yo/edit?usp=sharing"",""เชียงราย!J386"")"),1)</f>
        <v>1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IFERROR(__xludf.DUMMYFUNCTION("IMPORTRANGE(""https://docs.google.com/spreadsheets/d/11923uPwbBZFjjGgGUA6NLw09EwE0CqkOc4q9oUmW1yo/edit?usp=sharing"",""เชียงราย!J388"")"),4480)</f>
        <v>4480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IFERROR(__xludf.DUMMYFUNCTION("IMPORTRANGE(""https://docs.google.com/spreadsheets/d/11923uPwbBZFjjGgGUA6NLw09EwE0CqkOc4q9oUmW1yo/edit?usp=sharing"",""เชียงราย!J389"")"),723)</f>
        <v>723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IFERROR(__xludf.DUMMYFUNCTION("IMPORTRANGE(""https://docs.google.com/spreadsheets/d/11923uPwbBZFjjGgGUA6NLw09EwE0CqkOc4q9oUmW1yo/edit?usp=sharing"",""เชียงราย!J392"")"),721)</f>
        <v>721</v>
      </c>
      <c r="K497" s="444">
        <f t="shared" ca="1" si="117"/>
        <v>101.98019801980197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IFERROR(__xludf.DUMMYFUNCTION("IMPORTRANGE(""https://docs.google.com/spreadsheets/d/11923uPwbBZFjjGgGUA6NLw09EwE0CqkOc4q9oUmW1yo/edit?usp=sharing"",""เชียงราย!J393"")"),721)</f>
        <v>721</v>
      </c>
      <c r="K498" s="201">
        <f t="shared" ca="1" si="117"/>
        <v>101.98019801980197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IFERROR(__xludf.DUMMYFUNCTION("IMPORTRANGE(""https://docs.google.com/spreadsheets/d/11923uPwbBZFjjGgGUA6NLw09EwE0CqkOc4q9oUmW1yo/edit?usp=sharing"",""เชียงราย!J394"")"),95)</f>
        <v>95</v>
      </c>
      <c r="K499" s="201">
        <f t="shared" ca="1" si="117"/>
        <v>101.06382978723404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IFERROR(__xludf.DUMMYFUNCTION("IMPORTRANGE(""https://docs.google.com/spreadsheets/d/11923uPwbBZFjjGgGUA6NLw09EwE0CqkOc4q9oUmW1yo/edit?usp=sharing"",""เชียงราย!J395"")"),579)</f>
        <v>579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IFERROR(__xludf.DUMMYFUNCTION("IMPORTRANGE(""https://docs.google.com/spreadsheets/d/11923uPwbBZFjjGgGUA6NLw09EwE0CqkOc4q9oUmW1yo/edit?usp=sharing"",""เชียงราย!J396"")"),76)</f>
        <v>76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IFERROR(__xludf.DUMMYFUNCTION("IMPORTRANGE(""https://docs.google.com/spreadsheets/d/11923uPwbBZFjjGgGUA6NLw09EwE0CqkOc4q9oUmW1yo/edit?usp=sharing"",""เชียงราย!J397"")"),553)</f>
        <v>553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IFERROR(__xludf.DUMMYFUNCTION("IMPORTRANGE(""https://docs.google.com/spreadsheets/d/11923uPwbBZFjjGgGUA6NLw09EwE0CqkOc4q9oUmW1yo/edit?usp=sharing"",""เชียงราย!J398"")"),74)</f>
        <v>74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IFERROR(__xludf.DUMMYFUNCTION("IMPORTRANGE(""https://docs.google.com/spreadsheets/d/11923uPwbBZFjjGgGUA6NLw09EwE0CqkOc4q9oUmW1yo/edit?usp=sharing"",""เชียงราย!J399"")"),13)</f>
        <v>13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IFERROR(__xludf.DUMMYFUNCTION("IMPORTRANGE(""https://docs.google.com/spreadsheets/d/11923uPwbBZFjjGgGUA6NLw09EwE0CqkOc4q9oUmW1yo/edit?usp=sharing"",""เชียงราย!J400"")"),1)</f>
        <v>1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IFERROR(__xludf.DUMMYFUNCTION("IMPORTRANGE(""https://docs.google.com/spreadsheets/d/11923uPwbBZFjjGgGUA6NLw09EwE0CqkOc4q9oUmW1yo/edit?usp=sharing"",""เชียงราย!J401"")"),13)</f>
        <v>13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IFERROR(__xludf.DUMMYFUNCTION("IMPORTRANGE(""https://docs.google.com/spreadsheets/d/11923uPwbBZFjjGgGUA6NLw09EwE0CqkOc4q9oUmW1yo/edit?usp=sharing"",""เชียงราย!L428"")"),41150)</f>
        <v>41150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75.074119076549209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IFERROR(__xludf.DUMMYFUNCTION("IMPORTRANGE(""https://docs.google.com/spreadsheets/d/11923uPwbBZFjjGgGUA6NLw09EwE0CqkOc4q9oUmW1yo/edit?usp=sharing"",""เชียงราย!J459"")"),9742)</f>
        <v>9742</v>
      </c>
      <c r="K564" s="371">
        <f ca="1">IF(I564&gt;0,J564*100/I564,0)</f>
        <v>286.52941176470586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IFERROR(__xludf.DUMMYFUNCTION("IMPORTRANGE(""https://docs.google.com/spreadsheets/d/11923uPwbBZFjjGgGUA6NLw09EwE0CqkOc4q9oUmW1yo/edit?usp=sharing"",""เชียงราย!M459"")"),124249.94)</f>
        <v>124249.94</v>
      </c>
      <c r="O564" s="372">
        <f t="shared" ref="O564:O568" ca="1" si="122">+IF(L564&gt;0,N564*100/L564,0)</f>
        <v>75.030157004830912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IFERROR(__xludf.DUMMYFUNCTION("IMPORTRANGE(""https://docs.google.com/spreadsheets/d/11923uPwbBZFjjGgGUA6NLw09EwE0CqkOc4q9oUmW1yo/edit?usp=sharing"",""เชียงราย!M461"")"),124249.94)</f>
        <v>124249.94</v>
      </c>
      <c r="O566" s="168">
        <f t="shared" ca="1" si="122"/>
        <v>75.030157004830912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IFERROR(__xludf.DUMMYFUNCTION("IMPORTRANGE(""https://docs.google.com/spreadsheets/d/11923uPwbBZFjjGgGUA6NLw09EwE0CqkOc4q9oUmW1yo/edit?usp=sharing"",""เชียงราย!M463"")"),124249.94)</f>
        <v>124249.94</v>
      </c>
      <c r="O568" s="168">
        <f t="shared" ca="1" si="122"/>
        <v>75.030157004830912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IFERROR(__xludf.DUMMYFUNCTION("IMPORTRANGE(""https://docs.google.com/spreadsheets/d/11923uPwbBZFjjGgGUA6NLw09EwE0CqkOc4q9oUmW1yo/edit?usp=sharing"",""เชียงราย!M466"")"),79499.94)</f>
        <v>79499.94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IFERROR(__xludf.DUMMYFUNCTION("IMPORTRANGE(""https://docs.google.com/spreadsheets/d/11923uPwbBZFjjGgGUA6NLw09EwE0CqkOc4q9oUmW1yo/edit?usp=sharing"",""เชียงราย!M467"")"),44750)</f>
        <v>44750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IFERROR(__xludf.DUMMYFUNCTION("IMPORTRANGE(""https://docs.google.com/spreadsheets/d/11923uPwbBZFjjGgGUA6NLw09EwE0CqkOc4q9oUmW1yo/edit?usp=sharing"",""เชียงราย!J468"")"),9742)</f>
        <v>9742</v>
      </c>
      <c r="K573" s="201">
        <f ca="1">IF(I573&gt;0,J573*100/I573,0)</f>
        <v>286.52941176470586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IFERROR(__xludf.DUMMYFUNCTION("IMPORTRANGE(""https://docs.google.com/spreadsheets/d/11923uPwbBZFjjGgGUA6NLw09EwE0CqkOc4q9oUmW1yo/edit?usp=sharing"",""เชียงราย!J471"")"),346)</f>
        <v>346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IFERROR(__xludf.DUMMYFUNCTION("IMPORTRANGE(""https://docs.google.com/spreadsheets/d/11923uPwbBZFjjGgGUA6NLw09EwE0CqkOc4q9oUmW1yo/edit?usp=sharing"",""เชียงราย!J472"")"),9390)</f>
        <v>9390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IFERROR(__xludf.DUMMYFUNCTION("IMPORTRANGE(""https://docs.google.com/spreadsheets/d/11923uPwbBZFjjGgGUA6NLw09EwE0CqkOc4q9oUmW1yo/edit?usp=sharing"",""เชียงราย!I475"")"),84)</f>
        <v>84</v>
      </c>
      <c r="J580" s="370">
        <f ca="1">IFERROR(__xludf.DUMMYFUNCTION("IMPORTRANGE(""https://docs.google.com/spreadsheets/d/11923uPwbBZFjjGgGUA6NLw09EwE0CqkOc4q9oUmW1yo/edit?usp=sharing"",""เชียงราย!J475"")"),4)</f>
        <v>4</v>
      </c>
      <c r="K580" s="371">
        <f ca="1">IF(I580&gt;0,J580*100/I580,0)</f>
        <v>4.7619047619047619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IFERROR(__xludf.DUMMYFUNCTION("IMPORTRANGE(""https://docs.google.com/spreadsheets/d/11923uPwbBZFjjGgGUA6NLw09EwE0CqkOc4q9oUmW1yo/edit?usp=sharing"",""เชียงราย!M475"")"),157483.65)</f>
        <v>157483.65</v>
      </c>
      <c r="O580" s="372">
        <f t="shared" ref="O580:O584" ca="1" si="124">+IF(L580&gt;0,N580*100/L580,0)</f>
        <v>43.858027269992981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IFERROR(__xludf.DUMMYFUNCTION("IMPORTRANGE(""https://docs.google.com/spreadsheets/d/11923uPwbBZFjjGgGUA6NLw09EwE0CqkOc4q9oUmW1yo/edit?usp=sharing"",""เชียงราย!M477"")"),157483.65)</f>
        <v>157483.65</v>
      </c>
      <c r="O582" s="168">
        <f t="shared" ca="1" si="124"/>
        <v>43.858027269992981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IFERROR(__xludf.DUMMYFUNCTION("IMPORTRANGE(""https://docs.google.com/spreadsheets/d/11923uPwbBZFjjGgGUA6NLw09EwE0CqkOc4q9oUmW1yo/edit?usp=sharing"",""เชียงราย!M479"")"),157483.65)</f>
        <v>157483.65</v>
      </c>
      <c r="O584" s="168">
        <f t="shared" ca="1" si="124"/>
        <v>43.858027269992981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IFERROR(__xludf.DUMMYFUNCTION("IMPORTRANGE(""https://docs.google.com/spreadsheets/d/11923uPwbBZFjjGgGUA6NLw09EwE0CqkOc4q9oUmW1yo/edit?usp=sharing"",""เชียงราย!M482"")"),74416.65)</f>
        <v>74416.649999999994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IFERROR(__xludf.DUMMYFUNCTION("IMPORTRANGE(""https://docs.google.com/spreadsheets/d/11923uPwbBZFjjGgGUA6NLw09EwE0CqkOc4q9oUmW1yo/edit?usp=sharing"",""เชียงราย!M483"")"),83067)</f>
        <v>83067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IFERROR(__xludf.DUMMYFUNCTION("IMPORTRANGE(""https://docs.google.com/spreadsheets/d/11923uPwbBZFjjGgGUA6NLw09EwE0CqkOc4q9oUmW1yo/edit?usp=sharing"",""เชียงราย!I484"")"),84)</f>
        <v>84</v>
      </c>
      <c r="J589" s="187">
        <f ca="1">IFERROR(__xludf.DUMMYFUNCTION("IMPORTRANGE(""https://docs.google.com/spreadsheets/d/11923uPwbBZFjjGgGUA6NLw09EwE0CqkOc4q9oUmW1yo/edit?usp=sharing"",""เชียงราย!J484"")"),106)</f>
        <v>106</v>
      </c>
      <c r="K589" s="163">
        <f t="shared" ref="K589:K596" ca="1" si="125">IF(I589&gt;0,J589*100/I589,0)</f>
        <v>126.19047619047619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IFERROR(__xludf.DUMMYFUNCTION("IMPORTRANGE(""https://docs.google.com/spreadsheets/d/11923uPwbBZFjjGgGUA6NLw09EwE0CqkOc4q9oUmW1yo/edit?usp=sharing"",""เชียงราย!J485"")"),61.91)</f>
        <v>61.91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IFERROR(__xludf.DUMMYFUNCTION("IMPORTRANGE(""https://docs.google.com/spreadsheets/d/11923uPwbBZFjjGgGUA6NLw09EwE0CqkOc4q9oUmW1yo/edit?usp=sharing"",""เชียงราย!I486"")"),84)</f>
        <v>84</v>
      </c>
      <c r="J591" s="187">
        <f ca="1">IFERROR(__xludf.DUMMYFUNCTION("IMPORTRANGE(""https://docs.google.com/spreadsheets/d/11923uPwbBZFjjGgGUA6NLw09EwE0CqkOc4q9oUmW1yo/edit?usp=sharing"",""เชียงราย!J486"")"),38)</f>
        <v>38</v>
      </c>
      <c r="K591" s="163">
        <f t="shared" ca="1" si="125"/>
        <v>45.238095238095241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IFERROR(__xludf.DUMMYFUNCTION("IMPORTRANGE(""https://docs.google.com/spreadsheets/d/11923uPwbBZFjjGgGUA6NLw09EwE0CqkOc4q9oUmW1yo/edit?usp=sharing"",""เชียงราย!J487"")"),20.84)</f>
        <v>20.84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IFERROR(__xludf.DUMMYFUNCTION("IMPORTRANGE(""https://docs.google.com/spreadsheets/d/11923uPwbBZFjjGgGUA6NLw09EwE0CqkOc4q9oUmW1yo/edit?usp=sharing"",""เชียงราย!I488"")"),84)</f>
        <v>84</v>
      </c>
      <c r="J593" s="187">
        <f ca="1">IFERROR(__xludf.DUMMYFUNCTION("IMPORTRANGE(""https://docs.google.com/spreadsheets/d/11923uPwbBZFjjGgGUA6NLw09EwE0CqkOc4q9oUmW1yo/edit?usp=sharing"",""เชียงราย!J488"")"),2)</f>
        <v>2</v>
      </c>
      <c r="K593" s="163">
        <f t="shared" ca="1" si="125"/>
        <v>2.3809523809523809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IFERROR(__xludf.DUMMYFUNCTION("IMPORTRANGE(""https://docs.google.com/spreadsheets/d/11923uPwbBZFjjGgGUA6NLw09EwE0CqkOc4q9oUmW1yo/edit?usp=sharing"",""เชียงราย!J489"")"),1.28)</f>
        <v>1.28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IFERROR(__xludf.DUMMYFUNCTION("IMPORTRANGE(""https://docs.google.com/spreadsheets/d/11923uPwbBZFjjGgGUA6NLw09EwE0CqkOc4q9oUmW1yo/edit?usp=sharing"",""เชียงราย!I490"")"),84)</f>
        <v>84</v>
      </c>
      <c r="J595" s="187">
        <f ca="1">IFERROR(__xludf.DUMMYFUNCTION("IMPORTRANGE(""https://docs.google.com/spreadsheets/d/11923uPwbBZFjjGgGUA6NLw09EwE0CqkOc4q9oUmW1yo/edit?usp=sharing"",""เชียงราย!J490"")"),4)</f>
        <v>4</v>
      </c>
      <c r="K595" s="163">
        <f t="shared" ca="1" si="125"/>
        <v>4.7619047619047619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IFERROR(__xludf.DUMMYFUNCTION("IMPORTRANGE(""https://docs.google.com/spreadsheets/d/11923uPwbBZFjjGgGUA6NLw09EwE0CqkOc4q9oUmW1yo/edit?usp=sharing"",""เชียงราย!J491"")"),2.04)</f>
        <v>2.04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IFERROR(__xludf.DUMMYFUNCTION("IMPORTRANGE(""https://docs.google.com/spreadsheets/d/11923uPwbBZFjjGgGUA6NLw09EwE0CqkOc4q9oUmW1yo/edit?usp=sharing"",""เชียงราย!I492"")"),220)</f>
        <v>220</v>
      </c>
      <c r="J597" s="488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IFERROR(__xludf.DUMMYFUNCTION("IMPORTRANGE(""https://docs.google.com/spreadsheets/d/11923uPwbBZFjjGgGUA6NLw09EwE0CqkOc4q9oUmW1yo/edit?usp=sharing"",""เชียงราย!L492"")"),15500)</f>
        <v>15500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11.612903225806452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11.612903225806452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11.612903225806452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398.18181818181819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398.18181818181819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IFERROR(__xludf.DUMMYFUNCTION("IMPORTRANGE(""https://docs.google.com/spreadsheets/d/11923uPwbBZFjjGgGUA6NLw09EwE0CqkOc4q9oUmW1yo/edit?usp=sharing"",""เชียงราย!J523"")"),4805638.07)</f>
        <v>4805638.07</v>
      </c>
      <c r="K628" s="342">
        <f t="shared" ref="K628:K635" ca="1" si="129">IF(I628&gt;0,J628*100/I628,0)</f>
        <v>61.812029815038713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IFERROR(__xludf.DUMMYFUNCTION("IMPORTRANGE(""https://docs.google.com/spreadsheets/d/11923uPwbBZFjjGgGUA6NLw09EwE0CqkOc4q9oUmW1yo/edit?usp=sharing"",""เชียงราย!J524"")"),187)</f>
        <v>187</v>
      </c>
      <c r="K629" s="342">
        <f t="shared" ca="1" si="129"/>
        <v>57.53846153846154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IFERROR(__xludf.DUMMYFUNCTION("IMPORTRANGE(""https://docs.google.com/spreadsheets/d/11923uPwbBZFjjGgGUA6NLw09EwE0CqkOc4q9oUmW1yo/edit?usp=sharing"",""เชียงราย!J525"")"),822124.87)</f>
        <v>822124.87</v>
      </c>
      <c r="K630" s="342">
        <f t="shared" ca="1" si="129"/>
        <v>12.851725922620059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IFERROR(__xludf.DUMMYFUNCTION("IMPORTRANGE(""https://docs.google.com/spreadsheets/d/11923uPwbBZFjjGgGUA6NLw09EwE0CqkOc4q9oUmW1yo/edit?usp=sharing"",""เชียงราย!J526"")"),84)</f>
        <v>84</v>
      </c>
      <c r="K631" s="342">
        <f t="shared" ca="1" si="129"/>
        <v>51.851851851851855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IFERROR(__xludf.DUMMYFUNCTION("IMPORTRANGE(""https://docs.google.com/spreadsheets/d/11923uPwbBZFjjGgGUA6NLw09EwE0CqkOc4q9oUmW1yo/edit?usp=sharing"",""เชียงราย!I529"")"),5000000)</f>
        <v>5000000</v>
      </c>
      <c r="J634" s="341">
        <f ca="1">IFERROR(__xludf.DUMMYFUNCTION("IMPORTRANGE(""https://docs.google.com/spreadsheets/d/11923uPwbBZFjjGgGUA6NLw09EwE0CqkOc4q9oUmW1yo/edit?usp=sharing"",""เชียงราย!J529"")"),4000000)</f>
        <v>4000000</v>
      </c>
      <c r="K634" s="342">
        <f t="shared" ca="1" si="129"/>
        <v>80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IFERROR(__xludf.DUMMYFUNCTION("IMPORTRANGE(""https://docs.google.com/spreadsheets/d/11923uPwbBZFjjGgGUA6NLw09EwE0CqkOc4q9oUmW1yo/edit?usp=sharing"",""เชียงราย!I530"")"),212)</f>
        <v>212</v>
      </c>
      <c r="J635" s="505">
        <f ca="1">IFERROR(__xludf.DUMMYFUNCTION("IMPORTRANGE(""https://docs.google.com/spreadsheets/d/11923uPwbBZFjjGgGUA6NLw09EwE0CqkOc4q9oUmW1yo/edit?usp=sharing"",""เชียงราย!J530"")"),136)</f>
        <v>136</v>
      </c>
      <c r="K635" s="487">
        <f t="shared" ca="1" si="129"/>
        <v>64.15094339622641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IFERROR(__xludf.DUMMYFUNCTION("IMPORTRANGE(""https://docs.google.com/spreadsheets/d/11923uPwbBZFjjGgGUA6NLw09EwE0CqkOc4q9oUmW1yo/edit?usp=sharing"",""เชียงราย!J541"")"),0)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IFERROR(__xludf.DUMMYFUNCTION("IMPORTRANGE(""https://docs.google.com/spreadsheets/d/11923uPwbBZFjjGgGUA6NLw09EwE0CqkOc4q9oUmW1yo/edit?usp=sharing"",""เชียงราย!J542"")"),0)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IFERROR(__xludf.DUMMYFUNCTION("IMPORTRANGE(""https://docs.google.com/spreadsheets/d/11923uPwbBZFjjGgGUA6NLw09EwE0CqkOc4q9oUmW1yo/edit?usp=sharing"",""เชียงราย!I543"")"),0)</f>
        <v>0</v>
      </c>
      <c r="J648" s="536">
        <f ca="1">IFERROR(__xludf.DUMMYFUNCTION("IMPORTRANGE(""https://docs.google.com/spreadsheets/d/11923uPwbBZFjjGgGUA6NLw09EwE0CqkOc4q9oUmW1yo/edit?usp=sharing"",""เชียงราย!J543"")"),0)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IFERROR(__xludf.DUMMYFUNCTION("IMPORTRANGE(""https://docs.google.com/spreadsheets/d/11923uPwbBZFjjGgGUA6NLw09EwE0CqkOc4q9oUmW1yo/edit?usp=sharing"",""เชียงราย!L543"")"),0)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IFERROR(__xludf.DUMMYFUNCTION("IMPORTRANGE(""https://docs.google.com/spreadsheets/d/11923uPwbBZFjjGgGUA6NLw09EwE0CqkOc4q9oUmW1yo/edit?usp=sharing"",""เชียงราย!M543"")"),0)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IFERROR(__xludf.DUMMYFUNCTION("IMPORTRANGE(""https://docs.google.com/spreadsheets/d/11923uPwbBZFjjGgGUA6NLw09EwE0CqkOc4q9oUmW1yo/edit?usp=sharing"",""เชียงราย!I544"")"),0)</f>
        <v>0</v>
      </c>
      <c r="J649" s="536">
        <f ca="1">IFERROR(__xludf.DUMMYFUNCTION("IMPORTRANGE(""https://docs.google.com/spreadsheets/d/11923uPwbBZFjjGgGUA6NLw09EwE0CqkOc4q9oUmW1yo/edit?usp=sharing"",""เชียงราย!J544"")"),0)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IFERROR(__xludf.DUMMYFUNCTION("IMPORTRANGE(""https://docs.google.com/spreadsheets/d/11923uPwbBZFjjGgGUA6NLw09EwE0CqkOc4q9oUmW1yo/edit?usp=sharing"",""เชียงราย!L544"")"),0)</f>
        <v>0</v>
      </c>
      <c r="M649" s="521"/>
      <c r="N649" s="538">
        <f ca="1">IFERROR(__xludf.DUMMYFUNCTION("IMPORTRANGE(""https://docs.google.com/spreadsheets/d/11923uPwbBZFjjGgGUA6NLw09EwE0CqkOc4q9oUmW1yo/edit?usp=sharing"",""เชียงราย!M544"")"),0)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IFERROR(__xludf.DUMMYFUNCTION("IMPORTRANGE(""https://docs.google.com/spreadsheets/d/11923uPwbBZFjjGgGUA6NLw09EwE0CqkOc4q9oUmW1yo/edit?usp=sharing"",""เชียงราย!I545"")"),0)</f>
        <v>0</v>
      </c>
      <c r="J650" s="536">
        <f ca="1">IFERROR(__xludf.DUMMYFUNCTION("IMPORTRANGE(""https://docs.google.com/spreadsheets/d/11923uPwbBZFjjGgGUA6NLw09EwE0CqkOc4q9oUmW1yo/edit?usp=sharing"",""เชียงราย!J545"")"),0)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IFERROR(__xludf.DUMMYFUNCTION("IMPORTRANGE(""https://docs.google.com/spreadsheets/d/11923uPwbBZFjjGgGUA6NLw09EwE0CqkOc4q9oUmW1yo/edit?usp=sharing"",""เชียงราย!L545"")"),0)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IFERROR(__xludf.DUMMYFUNCTION("IMPORTRANGE(""https://docs.google.com/spreadsheets/d/11923uPwbBZFjjGgGUA6NLw09EwE0CqkOc4q9oUmW1yo/edit?usp=sharing"",""เชียงราย!M545"")"),0)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IFERROR(__xludf.DUMMYFUNCTION("IMPORTRANGE(""https://docs.google.com/spreadsheets/d/11923uPwbBZFjjGgGUA6NLw09EwE0CqkOc4q9oUmW1yo/edit?usp=sharing"",""เชียงราย!I546"")"),0)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IFERROR(__xludf.DUMMYFUNCTION("IMPORTRANGE(""https://docs.google.com/spreadsheets/d/11923uPwbBZFjjGgGUA6NLw09EwE0CqkOc4q9oUmW1yo/edit?usp=sharing"",""เชียงราย!L546"")"),0)</f>
        <v>0</v>
      </c>
      <c r="M651" s="521"/>
      <c r="N651" s="538">
        <f ca="1">IFERROR(__xludf.DUMMYFUNCTION("IMPORTRANGE(""https://docs.google.com/spreadsheets/d/11923uPwbBZFjjGgGUA6NLw09EwE0CqkOc4q9oUmW1yo/edit?usp=sharing"",""เชียงราย!M546"")"),0)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IFERROR(__xludf.DUMMYFUNCTION("IMPORTRANGE(""https://docs.google.com/spreadsheets/d/11923uPwbBZFjjGgGUA6NLw09EwE0CqkOc4q9oUmW1yo/edit?usp=sharing"",""เชียงราย!J547"")"),0)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IFERROR(__xludf.DUMMYFUNCTION("IMPORTRANGE(""https://docs.google.com/spreadsheets/d/11923uPwbBZFjjGgGUA6NLw09EwE0CqkOc4q9oUmW1yo/edit?usp=sharing"",""เชียงราย!J548"")"),0)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IFERROR(__xludf.DUMMYFUNCTION("IMPORTRANGE(""https://docs.google.com/spreadsheets/d/11923uPwbBZFjjGgGUA6NLw09EwE0CqkOc4q9oUmW1yo/edit?usp=sharing"",""เชียงราย!J550"")"),0)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IFERROR(__xludf.DUMMYFUNCTION("IMPORTRANGE(""https://docs.google.com/spreadsheets/d/11923uPwbBZFjjGgGUA6NLw09EwE0CqkOc4q9oUmW1yo/edit?usp=sharing"",""เชียงราย!J551"")"),0)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IFERROR(__xludf.DUMMYFUNCTION("IMPORTRANGE(""https://docs.google.com/spreadsheets/d/11923uPwbBZFjjGgGUA6NLw09EwE0CqkOc4q9oUmW1yo/edit?usp=sharing"",""เชียงราย!J552"")"),0)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IFERROR(__xludf.DUMMYFUNCTION("IMPORTRANGE(""https://docs.google.com/spreadsheets/d/11923uPwbBZFjjGgGUA6NLw09EwE0CqkOc4q9oUmW1yo/edit?usp=sharing"",""เชียงราย!J553"")"),0)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IFERROR(__xludf.DUMMYFUNCTION("IMPORTRANGE(""https://docs.google.com/spreadsheets/d/11923uPwbBZFjjGgGUA6NLw09EwE0CqkOc4q9oUmW1yo/edit?usp=sharing"",""เชียงราย!J554"")"),0)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IFERROR(__xludf.DUMMYFUNCTION("IMPORTRANGE(""https://docs.google.com/spreadsheets/d/11923uPwbBZFjjGgGUA6NLw09EwE0CqkOc4q9oUmW1yo/edit?usp=sharing"",""เชียงราย!J555"")"),0)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IFERROR(__xludf.DUMMYFUNCTION("IMPORTRANGE(""https://docs.google.com/spreadsheets/d/11923uPwbBZFjjGgGUA6NLw09EwE0CqkOc4q9oUmW1yo/edit?usp=sharing"",""เชียงราย!J556"")"),0)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IFERROR(__xludf.DUMMYFUNCTION("IMPORTRANGE(""https://docs.google.com/spreadsheets/d/11923uPwbBZFjjGgGUA6NLw09EwE0CqkOc4q9oUmW1yo/edit?usp=sharing"",""เชียงราย!L556"")"),0)</f>
        <v>0</v>
      </c>
      <c r="M661" s="521"/>
      <c r="N661" s="538">
        <f ca="1">IFERROR(__xludf.DUMMYFUNCTION("IMPORTRANGE(""https://docs.google.com/spreadsheets/d/11923uPwbBZFjjGgGUA6NLw09EwE0CqkOc4q9oUmW1yo/edit?usp=sharing"",""เชียงราย!M556"")"),0)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IFERROR(__xludf.DUMMYFUNCTION("IMPORTRANGE(""https://docs.google.com/spreadsheets/d/11923uPwbBZFjjGgGUA6NLw09EwE0CqkOc4q9oUmW1yo/edit?usp=sharing"",""เชียงราย!J557"")"),0)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IFERROR(__xludf.DUMMYFUNCTION("IMPORTRANGE(""https://docs.google.com/spreadsheets/d/11923uPwbBZFjjGgGUA6NLw09EwE0CqkOc4q9oUmW1yo/edit?usp=sharing"",""เชียงราย!I558"")"),0)</f>
        <v>0</v>
      </c>
      <c r="J663" s="536">
        <f ca="1">IFERROR(__xludf.DUMMYFUNCTION("IMPORTRANGE(""https://docs.google.com/spreadsheets/d/11923uPwbBZFjjGgGUA6NLw09EwE0CqkOc4q9oUmW1yo/edit?usp=sharing"",""เชียงราย!J558"")"),0)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IFERROR(__xludf.DUMMYFUNCTION("IMPORTRANGE(""https://docs.google.com/spreadsheets/d/11923uPwbBZFjjGgGUA6NLw09EwE0CqkOc4q9oUmW1yo/edit?usp=sharing"",""เชียงราย!I560"")"),0)</f>
        <v>0</v>
      </c>
      <c r="J665" s="536">
        <f ca="1">IFERROR(__xludf.DUMMYFUNCTION("IMPORTRANGE(""https://docs.google.com/spreadsheets/d/11923uPwbBZFjjGgGUA6NLw09EwE0CqkOc4q9oUmW1yo/edit?usp=sharing"",""เชียงราย!J560"")"),0)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IFERROR(__xludf.DUMMYFUNCTION("IMPORTRANGE(""https://docs.google.com/spreadsheets/d/11923uPwbBZFjjGgGUA6NLw09EwE0CqkOc4q9oUmW1yo/edit?usp=sharing"",""เชียงราย!L560"")"),0)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IFERROR(__xludf.DUMMYFUNCTION("IMPORTRANGE(""https://docs.google.com/spreadsheets/d/11923uPwbBZFjjGgGUA6NLw09EwE0CqkOc4q9oUmW1yo/edit?usp=sharing"",""เชียงราย!M560"")"),0)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IFERROR(__xludf.DUMMYFUNCTION("IMPORTRANGE(""https://docs.google.com/spreadsheets/d/11923uPwbBZFjjGgGUA6NLw09EwE0CqkOc4q9oUmW1yo/edit?usp=sharing"",""เชียงราย!J561"")"),0)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IFERROR(__xludf.DUMMYFUNCTION("IMPORTRANGE(""https://docs.google.com/spreadsheets/d/11923uPwbBZFjjGgGUA6NLw09EwE0CqkOc4q9oUmW1yo/edit?usp=sharing"",""เชียงราย!J562"")"),0)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IFERROR(__xludf.DUMMYFUNCTION("IMPORTRANGE(""https://docs.google.com/spreadsheets/d/11923uPwbBZFjjGgGUA6NLw09EwE0CqkOc4q9oUmW1yo/edit?usp=sharing"",""เชียงราย!I563"")"),0)</f>
        <v>0</v>
      </c>
      <c r="J668" s="536">
        <f ca="1">IFERROR(__xludf.DUMMYFUNCTION("IMPORTRANGE(""https://docs.google.com/spreadsheets/d/11923uPwbBZFjjGgGUA6NLw09EwE0CqkOc4q9oUmW1yo/edit?usp=sharing"",""เชียงราย!J563"")"),0)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IFERROR(__xludf.DUMMYFUNCTION("IMPORTRANGE(""https://docs.google.com/spreadsheets/d/11923uPwbBZFjjGgGUA6NLw09EwE0CqkOc4q9oUmW1yo/edit?usp=sharing"",""เชียงราย!L563"")"),0)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IFERROR(__xludf.DUMMYFUNCTION("IMPORTRANGE(""https://docs.google.com/spreadsheets/d/11923uPwbBZFjjGgGUA6NLw09EwE0CqkOc4q9oUmW1yo/edit?usp=sharing"",""เชียงราย!M563"")"),0)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IFERROR(__xludf.DUMMYFUNCTION("IMPORTRANGE(""https://docs.google.com/spreadsheets/d/11923uPwbBZFjjGgGUA6NLw09EwE0CqkOc4q9oUmW1yo/edit?usp=sharing"",""เชียงราย!J564"")"),0)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IFERROR(__xludf.DUMMYFUNCTION("IMPORTRANGE(""https://docs.google.com/spreadsheets/d/11923uPwbBZFjjGgGUA6NLw09EwE0CqkOc4q9oUmW1yo/edit?usp=sharing"",""เชียงราย!J565"")"),0)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IFERROR(__xludf.DUMMYFUNCTION("IMPORTRANGE(""https://docs.google.com/spreadsheets/d/11923uPwbBZFjjGgGUA6NLw09EwE0CqkOc4q9oUmW1yo/edit?usp=sharing"",""เชียงราย!I566"")"),0)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IFERROR(__xludf.DUMMYFUNCTION("IMPORTRANGE(""https://docs.google.com/spreadsheets/d/11923uPwbBZFjjGgGUA6NLw09EwE0CqkOc4q9oUmW1yo/edit?usp=sharing"",""เชียงราย!L566"")"),0)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IFERROR(__xludf.DUMMYFUNCTION("IMPORTRANGE(""https://docs.google.com/spreadsheets/d/11923uPwbBZFjjGgGUA6NLw09EwE0CqkOc4q9oUmW1yo/edit?usp=sharing"",""เชียงราย!M566"")"),0)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IFERROR(__xludf.DUMMYFUNCTION("IMPORTRANGE(""https://docs.google.com/spreadsheets/d/11923uPwbBZFjjGgGUA6NLw09EwE0CqkOc4q9oUmW1yo/edit?usp=sharing"",""เชียงราย!J567"")"),0)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IFERROR(__xludf.DUMMYFUNCTION("IMPORTRANGE(""https://docs.google.com/spreadsheets/d/11923uPwbBZFjjGgGUA6NLw09EwE0CqkOc4q9oUmW1yo/edit?usp=sharing"",""เชียงราย!J568"")"),0)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IFERROR(__xludf.DUMMYFUNCTION("IMPORTRANGE(""https://docs.google.com/spreadsheets/d/11923uPwbBZFjjGgGUA6NLw09EwE0CqkOc4q9oUmW1yo/edit?usp=sharing"",""เชียงราย!J569"")"),0)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IFERROR(__xludf.DUMMYFUNCTION("IMPORTRANGE(""https://docs.google.com/spreadsheets/d/11923uPwbBZFjjGgGUA6NLw09EwE0CqkOc4q9oUmW1yo/edit?usp=sharing"",""เชียงราย!J570"")"),0)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IFERROR(__xludf.DUMMYFUNCTION("IMPORTRANGE(""https://docs.google.com/spreadsheets/d/11923uPwbBZFjjGgGUA6NLw09EwE0CqkOc4q9oUmW1yo/edit?usp=sharing"",""เชียงราย!J571"")"),0)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IFERROR(__xludf.DUMMYFUNCTION("IMPORTRANGE(""https://docs.google.com/spreadsheets/d/11923uPwbBZFjjGgGUA6NLw09EwE0CqkOc4q9oUmW1yo/edit?usp=sharing"",""เชียงราย!J572"")"),0)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7445284</v>
      </c>
      <c r="M8" s="23">
        <f t="shared" ca="1" si="0"/>
        <v>4801839.0999999996</v>
      </c>
      <c r="N8" s="23">
        <f t="shared" ca="1" si="0"/>
        <v>5524999.6500000004</v>
      </c>
      <c r="O8" s="22">
        <f t="shared" ref="O8:O16" ca="1" si="1">IF(L8&gt;0,N8*100/L8,0)</f>
        <v>74.208044313689044</v>
      </c>
      <c r="P8" s="22">
        <f t="shared" ref="P8:P16" ca="1" si="2">IF(M8&gt;0,N8*100/M8,0)</f>
        <v>115.06007458683904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7445284</v>
      </c>
      <c r="M10" s="30">
        <f t="shared" ca="1" si="4"/>
        <v>4801839.0999999996</v>
      </c>
      <c r="N10" s="30">
        <f t="shared" ca="1" si="4"/>
        <v>5524999.6500000004</v>
      </c>
      <c r="O10" s="29">
        <f t="shared" ca="1" si="1"/>
        <v>74.208044313689044</v>
      </c>
      <c r="P10" s="29">
        <f t="shared" ca="1" si="2"/>
        <v>115.06007458683904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7133884</v>
      </c>
      <c r="M12" s="39">
        <f t="shared" ca="1" si="6"/>
        <v>4490439.0999999996</v>
      </c>
      <c r="N12" s="39">
        <f t="shared" ca="1" si="6"/>
        <v>5213599.6500000004</v>
      </c>
      <c r="O12" s="39">
        <f t="shared" ca="1" si="1"/>
        <v>73.082203887812028</v>
      </c>
      <c r="P12" s="39">
        <f t="shared" ca="1" si="2"/>
        <v>116.10445067610428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2412000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4721884</v>
      </c>
      <c r="M14" s="39">
        <f t="shared" si="8"/>
        <v>0</v>
      </c>
      <c r="N14" s="39">
        <f t="shared" ca="1" si="8"/>
        <v>1758558.5</v>
      </c>
      <c r="O14" s="39">
        <f t="shared" ca="1" si="1"/>
        <v>37.242729808695003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4783905</v>
      </c>
      <c r="M18" s="23">
        <f t="shared" ca="1" si="11"/>
        <v>4801839.0999999996</v>
      </c>
      <c r="N18" s="23">
        <f t="shared" ca="1" si="11"/>
        <v>3766441.15</v>
      </c>
      <c r="O18" s="22">
        <f t="shared" ref="O18:O20" ca="1" si="12">IF(L18&gt;0,N18*100/L18,0)</f>
        <v>78.731520588305997</v>
      </c>
      <c r="P18" s="22">
        <f t="shared" ref="P18:P26" ca="1" si="13">IF(M18&gt;0,N18*100/M18,0)</f>
        <v>78.437470968154685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4783905</v>
      </c>
      <c r="M20" s="30">
        <f t="shared" ca="1" si="15"/>
        <v>4801839.0999999996</v>
      </c>
      <c r="N20" s="30">
        <f t="shared" ca="1" si="15"/>
        <v>3766441.15</v>
      </c>
      <c r="O20" s="29">
        <f t="shared" ca="1" si="12"/>
        <v>78.731520588305997</v>
      </c>
      <c r="P20" s="29">
        <f t="shared" ca="1" si="13"/>
        <v>78.437470968154685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4472505</v>
      </c>
      <c r="M22" s="42">
        <f t="shared" ca="1" si="18"/>
        <v>4490439.0999999996</v>
      </c>
      <c r="N22" s="39">
        <f t="shared" ca="1" si="18"/>
        <v>3455041.15</v>
      </c>
      <c r="O22" s="39">
        <f t="shared" ca="1" si="17"/>
        <v>77.250693962332065</v>
      </c>
      <c r="P22" s="39">
        <f t="shared" ca="1" si="13"/>
        <v>76.942166969818174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2412000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2060505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2661379</v>
      </c>
      <c r="M28" s="23">
        <f t="shared" si="23"/>
        <v>0</v>
      </c>
      <c r="N28" s="23">
        <f t="shared" ca="1" si="23"/>
        <v>1758558.5</v>
      </c>
      <c r="O28" s="22">
        <f t="shared" ref="O28:O30" ca="1" si="24">IF(L28&gt;0,N28*100/L28,0)</f>
        <v>66.076966114183662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2661379</v>
      </c>
      <c r="M30" s="30">
        <f t="shared" si="27"/>
        <v>0</v>
      </c>
      <c r="N30" s="30">
        <f t="shared" ca="1" si="27"/>
        <v>1758558.5</v>
      </c>
      <c r="O30" s="29">
        <f t="shared" ca="1" si="24"/>
        <v>66.076966114183662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2661379</v>
      </c>
      <c r="M32" s="39">
        <f t="shared" si="30"/>
        <v>0</v>
      </c>
      <c r="N32" s="39">
        <f t="shared" ca="1" si="30"/>
        <v>1758558.5</v>
      </c>
      <c r="O32" s="39">
        <f t="shared" ca="1" si="29"/>
        <v>66.076966114183662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2661379</v>
      </c>
      <c r="M34" s="39">
        <f t="shared" si="32"/>
        <v>0</v>
      </c>
      <c r="N34" s="39">
        <f t="shared" ca="1" si="32"/>
        <v>1758558.5</v>
      </c>
      <c r="O34" s="39">
        <f t="shared" ca="1" si="29"/>
        <v>66.076966114183662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4783905</v>
      </c>
      <c r="M37" s="55">
        <f t="shared" ca="1" si="33"/>
        <v>4801839.0999999996</v>
      </c>
      <c r="N37" s="55">
        <f t="shared" ca="1" si="33"/>
        <v>3766441.15</v>
      </c>
      <c r="O37" s="56">
        <f t="shared" ca="1" si="29"/>
        <v>78.731520588305997</v>
      </c>
      <c r="P37" s="56">
        <f t="shared" ca="1" si="25"/>
        <v>78.437470968154685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885000</v>
      </c>
      <c r="M41" s="79">
        <f t="shared" ca="1" si="34"/>
        <v>885000</v>
      </c>
      <c r="N41" s="79">
        <f t="shared" ca="1" si="34"/>
        <v>810157.71</v>
      </c>
      <c r="O41" s="78">
        <f t="shared" ref="O41:O43" ca="1" si="35">IF(L41&gt;0,N41*100/L41,0)</f>
        <v>91.543244067796607</v>
      </c>
      <c r="P41" s="78">
        <f t="shared" ref="P41:P43" ca="1" si="36">IF(M41&gt;0,N41*100/M41,0)</f>
        <v>91.543244067796607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885000</v>
      </c>
      <c r="M43" s="79">
        <f t="shared" ca="1" si="38"/>
        <v>885000</v>
      </c>
      <c r="N43" s="79">
        <f t="shared" ca="1" si="38"/>
        <v>810157.71</v>
      </c>
      <c r="O43" s="78">
        <f t="shared" ca="1" si="35"/>
        <v>91.543244067796607</v>
      </c>
      <c r="P43" s="78">
        <f t="shared" ca="1" si="36"/>
        <v>91.543244067796607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709000</v>
      </c>
      <c r="M45" s="50">
        <f ca="1">IFERROR(__xludf.DUMMYFUNCTION("IMPORTRANGE(""https://docs.google.com/spreadsheets/d/1Yj_ptqi66GCucihVvJfMjLAmec39IyEx_6qawtMGysU/edit?usp=sharing"",""สบก!Q22"")"),709000)</f>
        <v>709000</v>
      </c>
      <c r="N45" s="50">
        <f ca="1">IFERROR(__xludf.DUMMYFUNCTION("IMPORTRANGE(""https://docs.google.com/spreadsheets/d/1Yj_ptqi66GCucihVvJfMjLAmec39IyEx_6qawtMGysU/edit?usp=sharing"",""สบก!R22"")"),634157.71)</f>
        <v>634157.71</v>
      </c>
      <c r="O45" s="39">
        <f ca="1">IF(L45&gt;0,N45*100/L45,0)</f>
        <v>89.443964739069116</v>
      </c>
      <c r="P45" s="39">
        <f ca="1">IF(M45&gt;0,N45*100/M45,0)</f>
        <v>89.443964739069116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IFERROR(__xludf.DUMMYFUNCTION("IMPORTRANGE(""https://docs.google.com/spreadsheets/d/1Yj_ptqi66GCucihVvJfMjLAmec39IyEx_6qawtMGysU/edit?usp=sharing"",""สบก!M22"")"),709000)</f>
        <v>709000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900000</v>
      </c>
      <c r="M53" s="121">
        <f t="shared" ca="1" si="39"/>
        <v>855132</v>
      </c>
      <c r="N53" s="121">
        <f t="shared" ca="1" si="39"/>
        <v>700032</v>
      </c>
      <c r="O53" s="120">
        <f t="shared" ref="O53:O55" ca="1" si="40">IF(L53&gt;0,N53*100/L53,0)</f>
        <v>77.781333333333336</v>
      </c>
      <c r="P53" s="120">
        <f t="shared" ref="P53:P55" ca="1" si="41">IF(M53&gt;0,N53*100/M53,0)</f>
        <v>81.862449306072051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900000</v>
      </c>
      <c r="M55" s="121">
        <f t="shared" ca="1" si="43"/>
        <v>855132</v>
      </c>
      <c r="N55" s="121">
        <f t="shared" ca="1" si="43"/>
        <v>700032</v>
      </c>
      <c r="O55" s="120">
        <f t="shared" ca="1" si="40"/>
        <v>77.781333333333336</v>
      </c>
      <c r="P55" s="120">
        <f t="shared" ca="1" si="41"/>
        <v>81.862449306072051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900000</v>
      </c>
      <c r="M57" s="50">
        <f ca="1">IFERROR(__xludf.DUMMYFUNCTION("IMPORTRANGE(""https://docs.google.com/spreadsheets/d/1Yj_ptqi66GCucihVvJfMjLAmec39IyEx_6qawtMGysU/edit?usp=sharing"",""สบก!Z22"")"),855132)</f>
        <v>855132</v>
      </c>
      <c r="N57" s="50">
        <f ca="1">IFERROR(__xludf.DUMMYFUNCTION("IMPORTRANGE(""https://docs.google.com/spreadsheets/d/1Yj_ptqi66GCucihVvJfMjLAmec39IyEx_6qawtMGysU/edit?usp=sharing"",""สบก!AA22"")"),700032)</f>
        <v>700032</v>
      </c>
      <c r="O57" s="39">
        <f ca="1">IF(L57&gt;0,N57*100/L57,0)</f>
        <v>77.781333333333336</v>
      </c>
      <c r="P57" s="39">
        <f ca="1">IF(M57&gt;0,N57*100/M57,0)</f>
        <v>81.862449306072051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IFERROR(__xludf.DUMMYFUNCTION("IMPORTRANGE(""https://docs.google.com/spreadsheets/d/1Yj_ptqi66GCucihVvJfMjLAmec39IyEx_6qawtMGysU/edit?usp=sharing"",""สบก!V22"")"),900000)</f>
        <v>900000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486000</v>
      </c>
      <c r="M66" s="152">
        <f t="shared" ca="1" si="45"/>
        <v>522120</v>
      </c>
      <c r="N66" s="152">
        <f t="shared" ca="1" si="45"/>
        <v>447332.27</v>
      </c>
      <c r="O66" s="151">
        <f t="shared" ref="O66:O68" ca="1" si="46">IF(L66&gt;0,N66*100/L66,0)</f>
        <v>92.043676954732504</v>
      </c>
      <c r="P66" s="151">
        <f t="shared" ref="P66:P68" ca="1" si="47">IF(M66&gt;0,N66*100/M66,0)</f>
        <v>85.676141500038312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486000</v>
      </c>
      <c r="M68" s="88">
        <f t="shared" ca="1" si="49"/>
        <v>522120</v>
      </c>
      <c r="N68" s="88">
        <f t="shared" ca="1" si="49"/>
        <v>447332.27</v>
      </c>
      <c r="O68" s="156">
        <f t="shared" ca="1" si="46"/>
        <v>92.043676954732504</v>
      </c>
      <c r="P68" s="156">
        <f t="shared" ca="1" si="47"/>
        <v>85.676141500038312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IFERROR(__xludf.DUMMYFUNCTION("IMPORTRANGE(""https://docs.google.com/spreadsheets/d/1Yj_ptqi66GCucihVvJfMjLAmec39IyEx_6qawtMGysU/edit?usp=sharing"",""สบก!AI22"")"),522120)</f>
        <v>522120</v>
      </c>
      <c r="N70" s="168">
        <f ca="1">IFERROR(__xludf.DUMMYFUNCTION("IMPORTRANGE(""https://docs.google.com/spreadsheets/d/1Yj_ptqi66GCucihVvJfMjLAmec39IyEx_6qawtMGysU/edit?usp=sharing"",""สบก!AJ22"")"),447332.27)</f>
        <v>447332.27</v>
      </c>
      <c r="O70" s="168">
        <f ca="1">IF(L70&gt;0,N70*100/L70,0)</f>
        <v>92.043676954732504</v>
      </c>
      <c r="P70" s="168">
        <f ca="1">IF(M70&gt;0,N70*100/M70,0)</f>
        <v>85.676141500038312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166344</v>
      </c>
      <c r="O94" s="151">
        <f t="shared" ref="O94:O96" ca="1" si="53">IF(L94&gt;0,N94*100/L94,0)</f>
        <v>77.549650349650349</v>
      </c>
      <c r="P94" s="151">
        <f t="shared" ref="P94:P96" ca="1" si="54">IF(M94&gt;0,N94*100/M94,0)</f>
        <v>77.549650349650349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166344</v>
      </c>
      <c r="O96" s="156">
        <f t="shared" ca="1" si="53"/>
        <v>77.549650349650349</v>
      </c>
      <c r="P96" s="156">
        <f t="shared" ca="1" si="54"/>
        <v>77.549650349650349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IFERROR(__xludf.DUMMYFUNCTION("IMPORTRANGE(""https://docs.google.com/spreadsheets/d/1Yj_ptqi66GCucihVvJfMjLAmec39IyEx_6qawtMGysU/edit?usp=sharing"",""สบก!AR22"")"),122100)</f>
        <v>122100</v>
      </c>
      <c r="N98" s="168">
        <f ca="1">IFERROR(__xludf.DUMMYFUNCTION("IMPORTRANGE(""https://docs.google.com/spreadsheets/d/1Yj_ptqi66GCucihVvJfMjLAmec39IyEx_6qawtMGysU/edit?usp=sharing"",""สบก!AS22"")"),73944)</f>
        <v>73944</v>
      </c>
      <c r="O98" s="168">
        <f ca="1">IF(L98&gt;0,N98*100/L98,0)</f>
        <v>60.560196560196559</v>
      </c>
      <c r="P98" s="168">
        <f ca="1">IF(M98&gt;0,N98*100/M98,0)</f>
        <v>60.560196560196559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939300</v>
      </c>
      <c r="M140" s="152">
        <f t="shared" ca="1" si="64"/>
        <v>926282.1</v>
      </c>
      <c r="N140" s="152">
        <f t="shared" ca="1" si="64"/>
        <v>667753.56000000006</v>
      </c>
      <c r="O140" s="151">
        <f t="shared" ref="O140:O142" ca="1" si="65">IF(L140&gt;0,N140*100/L140,0)</f>
        <v>71.090552539124886</v>
      </c>
      <c r="P140" s="151">
        <f t="shared" ref="P140:P142" ca="1" si="66">IF(M140&gt;0,N140*100/M140,0)</f>
        <v>72.089653897014756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939300</v>
      </c>
      <c r="M142" s="88">
        <f t="shared" ca="1" si="68"/>
        <v>926282.1</v>
      </c>
      <c r="N142" s="88">
        <f t="shared" ca="1" si="68"/>
        <v>667753.56000000006</v>
      </c>
      <c r="O142" s="156">
        <f t="shared" ca="1" si="65"/>
        <v>71.090552539124886</v>
      </c>
      <c r="P142" s="156">
        <f t="shared" ca="1" si="66"/>
        <v>72.089653897014756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939300</v>
      </c>
      <c r="M144" s="167">
        <f ca="1">IFERROR(__xludf.DUMMYFUNCTION("IMPORTRANGE(""https://docs.google.com/spreadsheets/d/1Yj_ptqi66GCucihVvJfMjLAmec39IyEx_6qawtMGysU/edit?usp=sharing"",""สบก!BJ22"")"),926282.1)</f>
        <v>926282.1</v>
      </c>
      <c r="N144" s="168">
        <f ca="1">IFERROR(__xludf.DUMMYFUNCTION("IMPORTRANGE(""https://docs.google.com/spreadsheets/d/1Yj_ptqi66GCucihVvJfMjLAmec39IyEx_6qawtMGysU/edit?usp=sharing"",""สบก!BK22"")"),667753.56)</f>
        <v>667753.56000000006</v>
      </c>
      <c r="O144" s="168">
        <f ca="1">IF(L144&gt;0,N144*100/L144,0)</f>
        <v>71.090552539124886</v>
      </c>
      <c r="P144" s="168">
        <f ca="1">IF(M144&gt;0,N144*100/M144,0)</f>
        <v>72.089653897014756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IFERROR(__xludf.DUMMYFUNCTION("IMPORTRANGE(""https://docs.google.com/spreadsheets/d/1Yj_ptqi66GCucihVvJfMjLAmec39IyEx_6qawtMGysU/edit?usp=sharing"",""สบก!BG22"")"),607900)</f>
        <v>607900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IFERROR(__xludf.DUMMYFUNCTION("IMPORTRANGE(""https://docs.google.com/spreadsheets/d/11923uPwbBZFjjGgGUA6NLw09EwE0CqkOc4q9oUmW1yo/edit?usp=sharing"",""เชียงใหม่!J84"")"),128)</f>
        <v>128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IFERROR(__xludf.DUMMYFUNCTION("IMPORTRANGE(""https://docs.google.com/spreadsheets/d/11923uPwbBZFjjGgGUA6NLw09EwE0CqkOc4q9oUmW1yo/edit?usp=sharing"",""เชียงใหม่!J85"")"),128)</f>
        <v>128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IFERROR(__xludf.DUMMYFUNCTION("IMPORTRANGE(""https://docs.google.com/spreadsheets/d/11923uPwbBZFjjGgGUA6NLw09EwE0CqkOc4q9oUmW1yo/edit?usp=sharing"",""เชียงใหม่!J114"")"),16000)</f>
        <v>16000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IFERROR(__xludf.DUMMYFUNCTION("IMPORTRANGE(""https://docs.google.com/spreadsheets/d/11923uPwbBZFjjGgGUA6NLw09EwE0CqkOc4q9oUmW1yo/edit?usp=sharing"",""เชียงใหม่!J125"")"),16000)</f>
        <v>16000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IFERROR(__xludf.DUMMYFUNCTION("IMPORTRANGE(""https://docs.google.com/spreadsheets/d/11923uPwbBZFjjGgGUA6NLw09EwE0CqkOc4q9oUmW1yo/edit?usp=sharing"",""เชียงใหม่!J141"")"),3)</f>
        <v>3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49892</v>
      </c>
      <c r="O250" s="151">
        <f t="shared" ref="O250:O252" ca="1" si="78">IF(L250&gt;0,N250*100/L250,0)</f>
        <v>69.876750700280112</v>
      </c>
      <c r="P250" s="151">
        <f t="shared" ref="P250:P252" ca="1" si="79">IF(M250&gt;0,N250*100/M250,0)</f>
        <v>69.876750700280112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49892</v>
      </c>
      <c r="O252" s="156">
        <f t="shared" ca="1" si="78"/>
        <v>69.876750700280112</v>
      </c>
      <c r="P252" s="156">
        <f t="shared" ca="1" si="79"/>
        <v>69.876750700280112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IFERROR(__xludf.DUMMYFUNCTION("IMPORTRANGE(""https://docs.google.com/spreadsheets/d/1Yj_ptqi66GCucihVvJfMjLAmec39IyEx_6qawtMGysU/edit?usp=sharing"",""สบก!CB22"")"),71400)</f>
        <v>71400</v>
      </c>
      <c r="N254" s="168">
        <f ca="1">IFERROR(__xludf.DUMMYFUNCTION("IMPORTRANGE(""https://docs.google.com/spreadsheets/d/1Yj_ptqi66GCucihVvJfMjLAmec39IyEx_6qawtMGysU/edit?usp=sharing"",""สบก!CC22"")"),49892)</f>
        <v>49892</v>
      </c>
      <c r="O254" s="168">
        <f ca="1">IF(L254&gt;0,N254*100/L254,0)</f>
        <v>69.876750700280112</v>
      </c>
      <c r="P254" s="168">
        <f ca="1">IF(M254&gt;0,N254*100/M254,0)</f>
        <v>69.876750700280112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83743.600000000006</v>
      </c>
      <c r="O271" s="151">
        <f t="shared" ref="O271:O273" ca="1" si="84">IF(L271&gt;0,N271*100/L271,0)</f>
        <v>79.227625354777686</v>
      </c>
      <c r="P271" s="151">
        <f t="shared" ref="P271:P273" ca="1" si="85">IF(M271&gt;0,N271*100/M271,0)</f>
        <v>79.227625354777686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83743.600000000006</v>
      </c>
      <c r="O273" s="156">
        <f t="shared" ca="1" si="84"/>
        <v>79.227625354777686</v>
      </c>
      <c r="P273" s="156">
        <f t="shared" ca="1" si="85"/>
        <v>79.227625354777686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IFERROR(__xludf.DUMMYFUNCTION("IMPORTRANGE(""https://docs.google.com/spreadsheets/d/1Yj_ptqi66GCucihVvJfMjLAmec39IyEx_6qawtMGysU/edit?usp=sharing"",""สบก!CK22"")"),105700)</f>
        <v>105700</v>
      </c>
      <c r="N275" s="168">
        <f ca="1">IFERROR(__xludf.DUMMYFUNCTION("IMPORTRANGE(""https://docs.google.com/spreadsheets/d/1Yj_ptqi66GCucihVvJfMjLAmec39IyEx_6qawtMGysU/edit?usp=sharing"",""สบก!CL22"")"),83743.6)</f>
        <v>83743.600000000006</v>
      </c>
      <c r="O275" s="168">
        <f ca="1">IF(L275&gt;0,N275*100/L275,0)</f>
        <v>79.227625354777686</v>
      </c>
      <c r="P275" s="168">
        <f ca="1">IF(M275&gt;0,N275*100/M275,0)</f>
        <v>79.227625354777686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315600</v>
      </c>
      <c r="N310" s="152">
        <f t="shared" ca="1" si="93"/>
        <v>142053.59</v>
      </c>
      <c r="O310" s="151">
        <f t="shared" ref="O310:O312" ca="1" si="94">IF(L310&gt;0,N310*100/L310,0)</f>
        <v>45.010643219264892</v>
      </c>
      <c r="P310" s="151">
        <f t="shared" ref="P310:P312" ca="1" si="95">IF(M310&gt;0,N310*100/M310,0)</f>
        <v>45.010643219264892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315600</v>
      </c>
      <c r="N312" s="88">
        <f t="shared" ca="1" si="97"/>
        <v>142053.59</v>
      </c>
      <c r="O312" s="156">
        <f t="shared" ca="1" si="94"/>
        <v>45.010643219264892</v>
      </c>
      <c r="P312" s="156">
        <f t="shared" ca="1" si="95"/>
        <v>45.010643219264892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IFERROR(__xludf.DUMMYFUNCTION("IMPORTRANGE(""https://docs.google.com/spreadsheets/d/1Yj_ptqi66GCucihVvJfMjLAmec39IyEx_6qawtMGysU/edit?usp=sharing"",""สบก!DC22"")"),315600)</f>
        <v>315600</v>
      </c>
      <c r="N314" s="168">
        <f ca="1">IFERROR(__xludf.DUMMYFUNCTION("IMPORTRANGE(""https://docs.google.com/spreadsheets/d/1Yj_ptqi66GCucihVvJfMjLAmec39IyEx_6qawtMGysU/edit?usp=sharing"",""สบก!DD22"")"),142053.59)</f>
        <v>142053.59</v>
      </c>
      <c r="O314" s="168">
        <f ca="1">IF(L314&gt;0,N314*100/L314,0)</f>
        <v>45.010643219264892</v>
      </c>
      <c r="P314" s="168">
        <f ca="1">IF(M314&gt;0,N314*100/M314,0)</f>
        <v>45.010643219264892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IFERROR(__xludf.DUMMYFUNCTION("IMPORTRANGE(""https://docs.google.com/spreadsheets/d/11923uPwbBZFjjGgGUA6NLw09EwE0CqkOc4q9oUmW1yo/edit?usp=sharing"",""เชียงใหม่!J228"")"),181)</f>
        <v>181</v>
      </c>
      <c r="K328" s="317">
        <f ca="1">IF(I328&gt;0,J328*100/I328,0)</f>
        <v>57.460317460317462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845280</v>
      </c>
      <c r="M329" s="152">
        <f t="shared" ca="1" si="98"/>
        <v>884980</v>
      </c>
      <c r="N329" s="152">
        <f t="shared" ca="1" si="98"/>
        <v>678007.42</v>
      </c>
      <c r="O329" s="151">
        <f t="shared" ref="O329:O331" ca="1" si="99">IF(L329&gt;0,N329*100/L329,0)</f>
        <v>80.21098570887753</v>
      </c>
      <c r="P329" s="151">
        <f t="shared" ref="P329:P331" ca="1" si="100">IF(M329&gt;0,N329*100/M329,0)</f>
        <v>76.612739270943976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845280</v>
      </c>
      <c r="M331" s="88">
        <f t="shared" ca="1" si="102"/>
        <v>884980</v>
      </c>
      <c r="N331" s="88">
        <f t="shared" ca="1" si="102"/>
        <v>678007.42</v>
      </c>
      <c r="O331" s="156">
        <f t="shared" ca="1" si="99"/>
        <v>80.21098570887753</v>
      </c>
      <c r="P331" s="156">
        <f t="shared" ca="1" si="100"/>
        <v>76.612739270943976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IFERROR(__xludf.DUMMYFUNCTION("IMPORTRANGE(""https://docs.google.com/spreadsheets/d/1Yj_ptqi66GCucihVvJfMjLAmec39IyEx_6qawtMGysU/edit?usp=sharing"",""สบก!DL22"")"),841980)</f>
        <v>841980</v>
      </c>
      <c r="N333" s="168">
        <f ca="1">IFERROR(__xludf.DUMMYFUNCTION("IMPORTRANGE(""https://docs.google.com/spreadsheets/d/1Yj_ptqi66GCucihVvJfMjLAmec39IyEx_6qawtMGysU/edit?usp=sharing"",""สบก!DM22"")"),635007.42)</f>
        <v>635007.42000000004</v>
      </c>
      <c r="O333" s="168">
        <f ca="1">IF(L333&gt;0,N333*100/L333,0)</f>
        <v>79.150349005334803</v>
      </c>
      <c r="P333" s="168">
        <f ca="1">IF(M333&gt;0,N333*100/M333,0)</f>
        <v>75.418349604503675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IFERROR(__xludf.DUMMYFUNCTION("IMPORTRANGE(""https://docs.google.com/spreadsheets/d/11923uPwbBZFjjGgGUA6NLw09EwE0CqkOc4q9oUmW1yo/edit?usp=sharing"",""เชียงใหม่!J234"")"),186)</f>
        <v>186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IFERROR(__xludf.DUMMYFUNCTION("IMPORTRANGE(""https://docs.google.com/spreadsheets/d/11923uPwbBZFjjGgGUA6NLw09EwE0CqkOc4q9oUmW1yo/edit?usp=sharing"",""เชียงใหม่!J235"")"),867.39)</f>
        <v>867.39</v>
      </c>
      <c r="K340" s="342">
        <f t="shared" ca="1" si="103"/>
        <v>81.829245283018864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IFERROR(__xludf.DUMMYFUNCTION("IMPORTRANGE(""https://docs.google.com/spreadsheets/d/11923uPwbBZFjjGgGUA6NLw09EwE0CqkOc4q9oUmW1yo/edit?usp=sharing"",""เชียงใหม่!J236"")"),254)</f>
        <v>254</v>
      </c>
      <c r="K341" s="342">
        <f t="shared" ca="1" si="103"/>
        <v>80.634920634920633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IFERROR(__xludf.DUMMYFUNCTION("IMPORTRANGE(""https://docs.google.com/spreadsheets/d/11923uPwbBZFjjGgGUA6NLw09EwE0CqkOc4q9oUmW1yo/edit?usp=sharing"",""เชียงใหม่!J237"")"),1363.85)</f>
        <v>1363.85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IFERROR(__xludf.DUMMYFUNCTION("IMPORTRANGE(""https://docs.google.com/spreadsheets/d/11923uPwbBZFjjGgGUA6NLw09EwE0CqkOc4q9oUmW1yo/edit?usp=sharing"",""เชียงใหม่!J240"")"),181)</f>
        <v>181</v>
      </c>
      <c r="K345" s="342">
        <f t="shared" ca="1" si="103"/>
        <v>57.460317460317462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IFERROR(__xludf.DUMMYFUNCTION("IMPORTRANGE(""https://docs.google.com/spreadsheets/d/11923uPwbBZFjjGgGUA6NLw09EwE0CqkOc4q9oUmW1yo/edit?usp=sharing"",""เชียงใหม่!J241"")"),977.99)</f>
        <v>977.99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IFERROR(__xludf.DUMMYFUNCTION("IMPORTRANGE(""https://docs.google.com/spreadsheets/d/11923uPwbBZFjjGgGUA6NLw09EwE0CqkOc4q9oUmW1yo/edit?usp=sharing"",""เชียงใหม่!L242"")"),2661379)</f>
        <v>2661379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IFERROR(__xludf.DUMMYFUNCTION("IMPORTRANGE(""https://docs.google.com/spreadsheets/d/11923uPwbBZFjjGgGUA6NLw09EwE0CqkOc4q9oUmW1yo/edit?usp=sharing"",""เชียงใหม่!M242"")"),1758558.5)</f>
        <v>1758558.5</v>
      </c>
      <c r="O347" s="357">
        <f ca="1">+IF(L347&gt;0,N347*100/L347,0)</f>
        <v>66.076966114183662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IFERROR(__xludf.DUMMYFUNCTION("IMPORTRANGE(""https://docs.google.com/spreadsheets/d/11923uPwbBZFjjGgGUA6NLw09EwE0CqkOc4q9oUmW1yo/edit?usp=sharing"",""เชียงใหม่!M244"")"),264512.58)</f>
        <v>264512.58</v>
      </c>
      <c r="O349" s="372">
        <f ca="1">+IF(L349&gt;0,N349*100/L349,0)</f>
        <v>83.242881419939579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IFERROR(__xludf.DUMMYFUNCTION("IMPORTRANGE(""https://docs.google.com/spreadsheets/d/11923uPwbBZFjjGgGUA6NLw09EwE0CqkOc4q9oUmW1yo/edit?usp=sharing"",""เชียงใหม่!M247"")"),264512.58)</f>
        <v>264512.58</v>
      </c>
      <c r="O352" s="165">
        <f t="shared" ca="1" si="105"/>
        <v>83.242881419939579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IFERROR(__xludf.DUMMYFUNCTION("IMPORTRANGE(""https://docs.google.com/spreadsheets/d/11923uPwbBZFjjGgGUA6NLw09EwE0CqkOc4q9oUmW1yo/edit?usp=sharing"",""เชียงใหม่!M249"")"),264512.58)</f>
        <v>264512.58</v>
      </c>
      <c r="O354" s="168">
        <f t="shared" ca="1" si="105"/>
        <v>83.242881419939579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IFERROR(__xludf.DUMMYFUNCTION("IMPORTRANGE(""https://docs.google.com/spreadsheets/d/11923uPwbBZFjjGgGUA6NLw09EwE0CqkOc4q9oUmW1yo/edit?usp=sharing"",""เชียงใหม่!M252"")"),116225.58)</f>
        <v>116225.58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IFERROR(__xludf.DUMMYFUNCTION("IMPORTRANGE(""https://docs.google.com/spreadsheets/d/11923uPwbBZFjjGgGUA6NLw09EwE0CqkOc4q9oUmW1yo/edit?usp=sharing"",""เชียงใหม่!M253"")"),8287)</f>
        <v>8287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IFERROR(__xludf.DUMMYFUNCTION("IMPORTRANGE(""https://docs.google.com/spreadsheets/d/11923uPwbBZFjjGgGUA6NLw09EwE0CqkOc4q9oUmW1yo/edit?usp=sharing"",""เชียงใหม่!M275"")"),713198.03)</f>
        <v>713198.03</v>
      </c>
      <c r="O380" s="372">
        <f ca="1">+IF(L380&gt;0,N380*100/L380,0)</f>
        <v>69.342164469334577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IFERROR(__xludf.DUMMYFUNCTION("IMPORTRANGE(""https://docs.google.com/spreadsheets/d/11923uPwbBZFjjGgGUA6NLw09EwE0CqkOc4q9oUmW1yo/edit?usp=sharing"",""เชียงใหม่!M278"")"),713198.03)</f>
        <v>713198.03</v>
      </c>
      <c r="O383" s="165">
        <f t="shared" ca="1" si="109"/>
        <v>69.342164469334577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IFERROR(__xludf.DUMMYFUNCTION("IMPORTRANGE(""https://docs.google.com/spreadsheets/d/11923uPwbBZFjjGgGUA6NLw09EwE0CqkOc4q9oUmW1yo/edit?usp=sharing"",""เชียงใหม่!M280"")"),713198.03)</f>
        <v>713198.03</v>
      </c>
      <c r="O385" s="168">
        <f t="shared" ca="1" si="109"/>
        <v>69.342164469334577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IFERROR(__xludf.DUMMYFUNCTION("IMPORTRANGE(""https://docs.google.com/spreadsheets/d/11923uPwbBZFjjGgGUA6NLw09EwE0CqkOc4q9oUmW1yo/edit?usp=sharing"",""เชียงใหม่!M281"")"),186763)</f>
        <v>186763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IFERROR(__xludf.DUMMYFUNCTION("IMPORTRANGE(""https://docs.google.com/spreadsheets/d/11923uPwbBZFjjGgGUA6NLw09EwE0CqkOc4q9oUmW1yo/edit?usp=sharing"",""เชียงใหม่!M282"")"),390600)</f>
        <v>390600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IFERROR(__xludf.DUMMYFUNCTION("IMPORTRANGE(""https://docs.google.com/spreadsheets/d/11923uPwbBZFjjGgGUA6NLw09EwE0CqkOc4q9oUmW1yo/edit?usp=sharing"",""เชียงใหม่!M283"")"),114548.03)</f>
        <v>114548.03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IFERROR(__xludf.DUMMYFUNCTION("IMPORTRANGE(""https://docs.google.com/spreadsheets/d/11923uPwbBZFjjGgGUA6NLw09EwE0CqkOc4q9oUmW1yo/edit?usp=sharing"",""เชียงใหม่!M284"")"),21287)</f>
        <v>21287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IFERROR(__xludf.DUMMYFUNCTION("IMPORTRANGE(""https://docs.google.com/spreadsheets/d/11923uPwbBZFjjGgGUA6NLw09EwE0CqkOc4q9oUmW1yo/edit?usp=sharing"",""เชียงใหม่!J293"")"),156)</f>
        <v>156</v>
      </c>
      <c r="K398" s="163">
        <f t="shared" ca="1" si="110"/>
        <v>156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IFERROR(__xludf.DUMMYFUNCTION("IMPORTRANGE(""https://docs.google.com/spreadsheets/d/11923uPwbBZFjjGgGUA6NLw09EwE0CqkOc4q9oUmW1yo/edit?usp=sharing"",""เชียงใหม่!M296"")"),122235)</f>
        <v>122235</v>
      </c>
      <c r="O401" s="372">
        <f ca="1">+IF(L401&gt;0,N401*100/L401,0)</f>
        <v>92.806165059600644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IFERROR(__xludf.DUMMYFUNCTION("IMPORTRANGE(""https://docs.google.com/spreadsheets/d/11923uPwbBZFjjGgGUA6NLw09EwE0CqkOc4q9oUmW1yo/edit?usp=sharing"",""เชียงใหม่!M299"")"),122235)</f>
        <v>122235</v>
      </c>
      <c r="O404" s="168">
        <f t="shared" ca="1" si="112"/>
        <v>92.806165059600644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IFERROR(__xludf.DUMMYFUNCTION("IMPORTRANGE(""https://docs.google.com/spreadsheets/d/11923uPwbBZFjjGgGUA6NLw09EwE0CqkOc4q9oUmW1yo/edit?usp=sharing"",""เชียงใหม่!M301"")"),122235)</f>
        <v>122235</v>
      </c>
      <c r="O406" s="168">
        <f t="shared" ca="1" si="112"/>
        <v>92.806165059600644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IFERROR(__xludf.DUMMYFUNCTION("IMPORTRANGE(""https://docs.google.com/spreadsheets/d/11923uPwbBZFjjGgGUA6NLw09EwE0CqkOc4q9oUmW1yo/edit?usp=sharing"",""เชียงใหม่!M305"")"),19510)</f>
        <v>19510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IFERROR(__xludf.DUMMYFUNCTION("IMPORTRANGE(""https://docs.google.com/spreadsheets/d/11923uPwbBZFjjGgGUA6NLw09EwE0CqkOc4q9oUmW1yo/edit?usp=sharing"",""เชียงใหม่!M330"")"),72640)</f>
        <v>72640</v>
      </c>
      <c r="O435" s="411">
        <f t="shared" ref="O435:O439" ca="1" si="114">+IF(L435&gt;0,N435*100/L435,0)</f>
        <v>72.64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IFERROR(__xludf.DUMMYFUNCTION("IMPORTRANGE(""https://docs.google.com/spreadsheets/d/11923uPwbBZFjjGgGUA6NLw09EwE0CqkOc4q9oUmW1yo/edit?usp=sharing"",""เชียงใหม่!M332"")"),72640)</f>
        <v>72640</v>
      </c>
      <c r="O437" s="168">
        <f t="shared" ca="1" si="114"/>
        <v>72.64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IFERROR(__xludf.DUMMYFUNCTION("IMPORTRANGE(""https://docs.google.com/spreadsheets/d/11923uPwbBZFjjGgGUA6NLw09EwE0CqkOc4q9oUmW1yo/edit?usp=sharing"",""เชียงใหม่!M334"")"),72640)</f>
        <v>72640</v>
      </c>
      <c r="O439" s="168">
        <f t="shared" ca="1" si="114"/>
        <v>72.64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IFERROR(__xludf.DUMMYFUNCTION("IMPORTRANGE(""https://docs.google.com/spreadsheets/d/11923uPwbBZFjjGgGUA6NLw09EwE0CqkOc4q9oUmW1yo/edit?usp=sharing"",""เชียงใหม่!M335"")"),53690)</f>
        <v>53690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IFERROR(__xludf.DUMMYFUNCTION("IMPORTRANGE(""https://docs.google.com/spreadsheets/d/11923uPwbBZFjjGgGUA6NLw09EwE0CqkOc4q9oUmW1yo/edit?usp=sharing"",""เชียงใหม่!M338"")"),18950)</f>
        <v>18950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IFERROR(__xludf.DUMMYFUNCTION("IMPORTRANGE(""https://docs.google.com/spreadsheets/d/11923uPwbBZFjjGgGUA6NLw09EwE0CqkOc4q9oUmW1yo/edit?usp=sharing"",""เชียงใหม่!J350"")"),19467.12)</f>
        <v>19467.12</v>
      </c>
      <c r="K455" s="371">
        <f ca="1">IF(I455&gt;0,J455*100/I455,0)</f>
        <v>100.00061642780089</v>
      </c>
      <c r="L455" s="372">
        <f ca="1">IFERROR(__xludf.DUMMYFUNCTION("IMPORTRANGE(""https://docs.google.com/spreadsheets/d/11923uPwbBZFjjGgGUA6NLw09EwE0CqkOc4q9oUmW1yo/edit?usp=sharing"",""เชียงใหม่!L350"")"),520639)</f>
        <v>520639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IFERROR(__xludf.DUMMYFUNCTION("IMPORTRANGE(""https://docs.google.com/spreadsheets/d/11923uPwbBZFjjGgGUA6NLw09EwE0CqkOc4q9oUmW1yo/edit?usp=sharing"",""เชียงใหม่!M350"")"),301662.91)</f>
        <v>301662.90999999997</v>
      </c>
      <c r="O455" s="372">
        <f t="shared" ref="O455:O459" ca="1" si="116">+IF(L455&gt;0,N455*100/L455,0)</f>
        <v>57.940897627722848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IFERROR(__xludf.DUMMYFUNCTION("IMPORTRANGE(""https://docs.google.com/spreadsheets/d/11923uPwbBZFjjGgGUA6NLw09EwE0CqkOc4q9oUmW1yo/edit?usp=sharing"",""เชียงใหม่!L352"")"),520639)</f>
        <v>520639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IFERROR(__xludf.DUMMYFUNCTION("IMPORTRANGE(""https://docs.google.com/spreadsheets/d/11923uPwbBZFjjGgGUA6NLw09EwE0CqkOc4q9oUmW1yo/edit?usp=sharing"",""เชียงใหม่!M352"")"),301662.91)</f>
        <v>301662.90999999997</v>
      </c>
      <c r="O457" s="168">
        <f t="shared" ca="1" si="116"/>
        <v>57.940897627722848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IFERROR(__xludf.DUMMYFUNCTION("IMPORTRANGE(""https://docs.google.com/spreadsheets/d/11923uPwbBZFjjGgGUA6NLw09EwE0CqkOc4q9oUmW1yo/edit?usp=sharing"",""เชียงใหม่!L354"")"),520639)</f>
        <v>520639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IFERROR(__xludf.DUMMYFUNCTION("IMPORTRANGE(""https://docs.google.com/spreadsheets/d/11923uPwbBZFjjGgGUA6NLw09EwE0CqkOc4q9oUmW1yo/edit?usp=sharing"",""เชียงใหม่!M354"")"),301662.91)</f>
        <v>301662.90999999997</v>
      </c>
      <c r="O459" s="168">
        <f t="shared" ca="1" si="116"/>
        <v>57.940897627722848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IFERROR(__xludf.DUMMYFUNCTION("IMPORTRANGE(""https://docs.google.com/spreadsheets/d/11923uPwbBZFjjGgGUA6NLw09EwE0CqkOc4q9oUmW1yo/edit?usp=sharing"",""เชียงใหม่!M357"")"),107858.91)</f>
        <v>107858.91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IFERROR(__xludf.DUMMYFUNCTION("IMPORTRANGE(""https://docs.google.com/spreadsheets/d/11923uPwbBZFjjGgGUA6NLw09EwE0CqkOc4q9oUmW1yo/edit?usp=sharing"",""เชียงใหม่!M358"")"),193804)</f>
        <v>193804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IFERROR(__xludf.DUMMYFUNCTION("IMPORTRANGE(""https://docs.google.com/spreadsheets/d/11923uPwbBZFjjGgGUA6NLw09EwE0CqkOc4q9oUmW1yo/edit?usp=sharing"",""เชียงใหม่!J359"")"),19467.12)</f>
        <v>19467.12</v>
      </c>
      <c r="K464" s="268">
        <f t="shared" ref="K464:K515" ca="1" si="117">IF(I464&gt;0,J464*100/I464,0)</f>
        <v>100.00061642780089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IFERROR(__xludf.DUMMYFUNCTION("IMPORTRANGE(""https://docs.google.com/spreadsheets/d/11923uPwbBZFjjGgGUA6NLw09EwE0CqkOc4q9oUmW1yo/edit?usp=sharing"",""เชียงใหม่!J376"")"),19467.12)</f>
        <v>19467.12</v>
      </c>
      <c r="K481" s="201">
        <f t="shared" ca="1" si="117"/>
        <v>100.00061642780089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IFERROR(__xludf.DUMMYFUNCTION("IMPORTRANGE(""https://docs.google.com/spreadsheets/d/11923uPwbBZFjjGgGUA6NLw09EwE0CqkOc4q9oUmW1yo/edit?usp=sharing"",""เชียงใหม่!J377"")"),4394)</f>
        <v>4394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IFERROR(__xludf.DUMMYFUNCTION("IMPORTRANGE(""https://docs.google.com/spreadsheets/d/11923uPwbBZFjjGgGUA6NLw09EwE0CqkOc4q9oUmW1yo/edit?usp=sharing"",""เชียงใหม่!J378"")"),9874)</f>
        <v>9874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IFERROR(__xludf.DUMMYFUNCTION("IMPORTRANGE(""https://docs.google.com/spreadsheets/d/11923uPwbBZFjjGgGUA6NLw09EwE0CqkOc4q9oUmW1yo/edit?usp=sharing"",""เชียงใหม่!J379"")"),2517)</f>
        <v>2517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IFERROR(__xludf.DUMMYFUNCTION("IMPORTRANGE(""https://docs.google.com/spreadsheets/d/11923uPwbBZFjjGgGUA6NLw09EwE0CqkOc4q9oUmW1yo/edit?usp=sharing"",""เชียงใหม่!J380"")"),358)</f>
        <v>358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IFERROR(__xludf.DUMMYFUNCTION("IMPORTRANGE(""https://docs.google.com/spreadsheets/d/11923uPwbBZFjjGgGUA6NLw09EwE0CqkOc4q9oUmW1yo/edit?usp=sharing"",""เชียงใหม่!J381"")"),76)</f>
        <v>76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IFERROR(__xludf.DUMMYFUNCTION("IMPORTRANGE(""https://docs.google.com/spreadsheets/d/11923uPwbBZFjjGgGUA6NLw09EwE0CqkOc4q9oUmW1yo/edit?usp=sharing"",""เชียงใหม่!J382"")"),198.73)</f>
        <v>198.73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IFERROR(__xludf.DUMMYFUNCTION("IMPORTRANGE(""https://docs.google.com/spreadsheets/d/11923uPwbBZFjjGgGUA6NLw09EwE0CqkOc4q9oUmW1yo/edit?usp=sharing"",""เชียงใหม่!J383"")"),59)</f>
        <v>59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IFERROR(__xludf.DUMMYFUNCTION("IMPORTRANGE(""https://docs.google.com/spreadsheets/d/11923uPwbBZFjjGgGUA6NLw09EwE0CqkOc4q9oUmW1yo/edit?usp=sharing"",""เชียงใหม่!J384"")"),169.26)</f>
        <v>169.26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IFERROR(__xludf.DUMMYFUNCTION("IMPORTRANGE(""https://docs.google.com/spreadsheets/d/11923uPwbBZFjjGgGUA6NLw09EwE0CqkOc4q9oUmW1yo/edit?usp=sharing"",""เชียงใหม่!J385"")"),52)</f>
        <v>52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IFERROR(__xludf.DUMMYFUNCTION("IMPORTRANGE(""https://docs.google.com/spreadsheets/d/11923uPwbBZFjjGgGUA6NLw09EwE0CqkOc4q9oUmW1yo/edit?usp=sharing"",""เชียงใหม่!J386"")"),29.47)</f>
        <v>29.47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IFERROR(__xludf.DUMMYFUNCTION("IMPORTRANGE(""https://docs.google.com/spreadsheets/d/11923uPwbBZFjjGgGUA6NLw09EwE0CqkOc4q9oUmW1yo/edit?usp=sharing"",""เชียงใหม่!J388"")"),9036.39)</f>
        <v>9036.39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IFERROR(__xludf.DUMMYFUNCTION("IMPORTRANGE(""https://docs.google.com/spreadsheets/d/11923uPwbBZFjjGgGUA6NLw09EwE0CqkOc4q9oUmW1yo/edit?usp=sharing"",""เชียงใหม่!J389"")"),1742)</f>
        <v>1742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IFERROR(__xludf.DUMMYFUNCTION("IMPORTRANGE(""https://docs.google.com/spreadsheets/d/11923uPwbBZFjjGgGUA6NLw09EwE0CqkOc4q9oUmW1yo/edit?usp=sharing"",""เชียงใหม่!J392"")"),4906)</f>
        <v>4906</v>
      </c>
      <c r="K497" s="444">
        <f t="shared" ca="1" si="117"/>
        <v>96.366136318994307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IFERROR(__xludf.DUMMYFUNCTION("IMPORTRANGE(""https://docs.google.com/spreadsheets/d/11923uPwbBZFjjGgGUA6NLw09EwE0CqkOc4q9oUmW1yo/edit?usp=sharing"",""เชียงใหม่!J393"")"),4906)</f>
        <v>4906</v>
      </c>
      <c r="K498" s="201">
        <f t="shared" ca="1" si="117"/>
        <v>96.366136318994307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IFERROR(__xludf.DUMMYFUNCTION("IMPORTRANGE(""https://docs.google.com/spreadsheets/d/11923uPwbBZFjjGgGUA6NLw09EwE0CqkOc4q9oUmW1yo/edit?usp=sharing"",""เชียงใหม่!J394"")"),607)</f>
        <v>607</v>
      </c>
      <c r="K499" s="201">
        <f t="shared" ca="1" si="117"/>
        <v>96.502384737678852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IFERROR(__xludf.DUMMYFUNCTION("IMPORTRANGE(""https://docs.google.com/spreadsheets/d/11923uPwbBZFjjGgGUA6NLw09EwE0CqkOc4q9oUmW1yo/edit?usp=sharing"",""เชียงใหม่!J395"")"),4342)</f>
        <v>4342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IFERROR(__xludf.DUMMYFUNCTION("IMPORTRANGE(""https://docs.google.com/spreadsheets/d/11923uPwbBZFjjGgGUA6NLw09EwE0CqkOc4q9oUmW1yo/edit?usp=sharing"",""เชียงใหม่!J396"")"),545)</f>
        <v>545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IFERROR(__xludf.DUMMYFUNCTION("IMPORTRANGE(""https://docs.google.com/spreadsheets/d/11923uPwbBZFjjGgGUA6NLw09EwE0CqkOc4q9oUmW1yo/edit?usp=sharing"",""เชียงใหม่!J397"")"),893)</f>
        <v>893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IFERROR(__xludf.DUMMYFUNCTION("IMPORTRANGE(""https://docs.google.com/spreadsheets/d/11923uPwbBZFjjGgGUA6NLw09EwE0CqkOc4q9oUmW1yo/edit?usp=sharing"",""เชียงใหม่!J398"")"),129)</f>
        <v>129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IFERROR(__xludf.DUMMYFUNCTION("IMPORTRANGE(""https://docs.google.com/spreadsheets/d/11923uPwbBZFjjGgGUA6NLw09EwE0CqkOc4q9oUmW1yo/edit?usp=sharing"",""เชียงใหม่!J399"")"),3449)</f>
        <v>3449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IFERROR(__xludf.DUMMYFUNCTION("IMPORTRANGE(""https://docs.google.com/spreadsheets/d/11923uPwbBZFjjGgGUA6NLw09EwE0CqkOc4q9oUmW1yo/edit?usp=sharing"",""เชียงใหม่!J400"")"),416)</f>
        <v>416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IFERROR(__xludf.DUMMYFUNCTION("IMPORTRANGE(""https://docs.google.com/spreadsheets/d/11923uPwbBZFjjGgGUA6NLw09EwE0CqkOc4q9oUmW1yo/edit?usp=sharing"",""เชียงใหม่!J403"")"),20)</f>
        <v>20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2">
        <f ca="1">IFERROR(__xludf.DUMMYFUNCTION("IMPORTRANGE(""https://docs.google.com/spreadsheets/d/11923uPwbBZFjjGgGUA6NLw09EwE0CqkOc4q9oUmW1yo/edit?usp=sharing"",""เชียงใหม่!J405"")"),7)</f>
        <v>7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IFERROR(__xludf.DUMMYFUNCTION("IMPORTRANGE(""https://docs.google.com/spreadsheets/d/11923uPwbBZFjjGgGUA6NLw09EwE0CqkOc4q9oUmW1yo/edit?usp=sharing"",""เชียงใหม่!J409"")"),544)</f>
        <v>544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IFERROR(__xludf.DUMMYFUNCTION("IMPORTRANGE(""https://docs.google.com/spreadsheets/d/11923uPwbBZFjjGgGUA6NLw09EwE0CqkOc4q9oUmW1yo/edit?usp=sharing"",""เชียงใหม่!J410"")"),53)</f>
        <v>53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IFERROR(__xludf.DUMMYFUNCTION("IMPORTRANGE(""https://docs.google.com/spreadsheets/d/11923uPwbBZFjjGgGUA6NLw09EwE0CqkOc4q9oUmW1yo/edit?usp=sharing"",""เชียงใหม่!J420"")"),59)</f>
        <v>59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IFERROR(__xludf.DUMMYFUNCTION("IMPORTRANGE(""https://docs.google.com/spreadsheets/d/11923uPwbBZFjjGgGUA6NLw09EwE0CqkOc4q9oUmW1yo/edit?usp=sharing"",""เชียงใหม่!J424"")"),59)</f>
        <v>59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IFERROR(__xludf.DUMMYFUNCTION("IMPORTRANGE(""https://docs.google.com/spreadsheets/d/11923uPwbBZFjjGgGUA6NLw09EwE0CqkOc4q9oUmW1yo/edit?usp=sharing"",""เชียงใหม่!J425"")"),15)</f>
        <v>15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IFERROR(__xludf.DUMMYFUNCTION("IMPORTRANGE(""https://docs.google.com/spreadsheets/d/11923uPwbBZFjjGgGUA6NLw09EwE0CqkOc4q9oUmW1yo/edit?usp=sharing"",""เชียงใหม่!L428"")"),37740)</f>
        <v>37740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IFERROR(__xludf.DUMMYFUNCTION("IMPORTRANGE(""https://docs.google.com/spreadsheets/d/11923uPwbBZFjjGgGUA6NLw09EwE0CqkOc4q9oUmW1yo/edit?usp=sharing"",""เชียงใหม่!M428"")"),28004)</f>
        <v>28004</v>
      </c>
      <c r="O533" s="411">
        <f t="shared" ref="O533:O537" ca="1" si="118">+IF(L533&gt;0,N533*100/L533,0)</f>
        <v>74.2024377318495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IFERROR(__xludf.DUMMYFUNCTION("IMPORTRANGE(""https://docs.google.com/spreadsheets/d/11923uPwbBZFjjGgGUA6NLw09EwE0CqkOc4q9oUmW1yo/edit?usp=sharing"",""เชียงใหม่!M430"")"),28004)</f>
        <v>28004</v>
      </c>
      <c r="O535" s="168">
        <f t="shared" ca="1" si="118"/>
        <v>74.2024377318495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IFERROR(__xludf.DUMMYFUNCTION("IMPORTRANGE(""https://docs.google.com/spreadsheets/d/11923uPwbBZFjjGgGUA6NLw09EwE0CqkOc4q9oUmW1yo/edit?usp=sharing"",""เชียงใหม่!M432"")"),28004)</f>
        <v>28004</v>
      </c>
      <c r="O537" s="168">
        <f t="shared" ca="1" si="118"/>
        <v>74.2024377318495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IFERROR(__xludf.DUMMYFUNCTION("IMPORTRANGE(""https://docs.google.com/spreadsheets/d/11923uPwbBZFjjGgGUA6NLw09EwE0CqkOc4q9oUmW1yo/edit?usp=sharing"",""เชียงใหม่!M436"")"),7100)</f>
        <v>7100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IFERROR(__xludf.DUMMYFUNCTION("IMPORTRANGE(""https://docs.google.com/spreadsheets/d/11923uPwbBZFjjGgGUA6NLw09EwE0CqkOc4q9oUmW1yo/edit?usp=sharing"",""เชียงใหม่!J446"")"),3055)</f>
        <v>3055</v>
      </c>
      <c r="K551" s="410">
        <f ca="1">IF(I551&gt;0,J551*100/I551,0)</f>
        <v>101.83333333333333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IFERROR(__xludf.DUMMYFUNCTION("IMPORTRANGE(""https://docs.google.com/spreadsheets/d/11923uPwbBZFjjGgGUA6NLw09EwE0CqkOc4q9oUmW1yo/edit?usp=sharing"",""เชียงใหม่!M446"")"),142170.74)</f>
        <v>142170.74</v>
      </c>
      <c r="O551" s="411">
        <f t="shared" ref="O551:O555" ca="1" si="120">+IF(L551&gt;0,N551*100/L551,0)</f>
        <v>75.622734042553191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IFERROR(__xludf.DUMMYFUNCTION("IMPORTRANGE(""https://docs.google.com/spreadsheets/d/11923uPwbBZFjjGgGUA6NLw09EwE0CqkOc4q9oUmW1yo/edit?usp=sharing"",""เชียงใหม่!M448"")"),142170.74)</f>
        <v>142170.74</v>
      </c>
      <c r="O553" s="168">
        <f t="shared" ca="1" si="120"/>
        <v>75.622734042553191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IFERROR(__xludf.DUMMYFUNCTION("IMPORTRANGE(""https://docs.google.com/spreadsheets/d/11923uPwbBZFjjGgGUA6NLw09EwE0CqkOc4q9oUmW1yo/edit?usp=sharing"",""เชียงใหม่!M450"")"),142170.74)</f>
        <v>142170.74</v>
      </c>
      <c r="O555" s="168">
        <f t="shared" ca="1" si="120"/>
        <v>75.622734042553191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IFERROR(__xludf.DUMMYFUNCTION("IMPORTRANGE(""https://docs.google.com/spreadsheets/d/11923uPwbBZFjjGgGUA6NLw09EwE0CqkOc4q9oUmW1yo/edit?usp=sharing"",""เชียงใหม่!M453"")"),60000)</f>
        <v>60000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IFERROR(__xludf.DUMMYFUNCTION("IMPORTRANGE(""https://docs.google.com/spreadsheets/d/11923uPwbBZFjjGgGUA6NLw09EwE0CqkOc4q9oUmW1yo/edit?usp=sharing"",""เชียงใหม่!M454"")"),82170.74)</f>
        <v>82170.740000000005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IFERROR(__xludf.DUMMYFUNCTION("IMPORTRANGE(""https://docs.google.com/spreadsheets/d/11923uPwbBZFjjGgGUA6NLw09EwE0CqkOc4q9oUmW1yo/edit?usp=sharing"",""เชียงใหม่!J455"")"),3055)</f>
        <v>3055</v>
      </c>
      <c r="K560" s="224">
        <f t="shared" ref="K560:K561" ca="1" si="121">IF(I560&gt;0,J560*100/I560,0)</f>
        <v>101.83333333333333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IFERROR(__xludf.DUMMYFUNCTION("IMPORTRANGE(""https://docs.google.com/spreadsheets/d/11923uPwbBZFjjGgGUA6NLw09EwE0CqkOc4q9oUmW1yo/edit?usp=sharing"",""เชียงใหม่!J456"")"),552)</f>
        <v>552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IFERROR(__xludf.DUMMYFUNCTION("IMPORTRANGE(""https://docs.google.com/spreadsheets/d/11923uPwbBZFjjGgGUA6NLw09EwE0CqkOc4q9oUmW1yo/edit?usp=sharing"",""เชียงใหม่!J459"")"),1380)</f>
        <v>1380</v>
      </c>
      <c r="K564" s="371">
        <f ca="1">IF(I564&gt;0,J564*100/I564,0)</f>
        <v>138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IFERROR(__xludf.DUMMYFUNCTION("IMPORTRANGE(""https://docs.google.com/spreadsheets/d/11923uPwbBZFjjGgGUA6NLw09EwE0CqkOc4q9oUmW1yo/edit?usp=sharing"",""เชียงใหม่!M459"")"),97135.24)</f>
        <v>97135.24</v>
      </c>
      <c r="O564" s="372">
        <f t="shared" ref="O564:O568" ca="1" si="122">+IF(L564&gt;0,N564*100/L564,0)</f>
        <v>74.217023227383862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IFERROR(__xludf.DUMMYFUNCTION("IMPORTRANGE(""https://docs.google.com/spreadsheets/d/11923uPwbBZFjjGgGUA6NLw09EwE0CqkOc4q9oUmW1yo/edit?usp=sharing"",""เชียงใหม่!M461"")"),97135.24)</f>
        <v>97135.24</v>
      </c>
      <c r="O566" s="168">
        <f t="shared" ca="1" si="122"/>
        <v>74.217023227383862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IFERROR(__xludf.DUMMYFUNCTION("IMPORTRANGE(""https://docs.google.com/spreadsheets/d/11923uPwbBZFjjGgGUA6NLw09EwE0CqkOc4q9oUmW1yo/edit?usp=sharing"",""เชียงใหม่!M463"")"),97135.24)</f>
        <v>97135.24</v>
      </c>
      <c r="O568" s="168">
        <f t="shared" ca="1" si="122"/>
        <v>74.217023227383862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IFERROR(__xludf.DUMMYFUNCTION("IMPORTRANGE(""https://docs.google.com/spreadsheets/d/11923uPwbBZFjjGgGUA6NLw09EwE0CqkOc4q9oUmW1yo/edit?usp=sharing"",""เชียงใหม่!M466"")"),75935.24)</f>
        <v>75935.240000000005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IFERROR(__xludf.DUMMYFUNCTION("IMPORTRANGE(""https://docs.google.com/spreadsheets/d/11923uPwbBZFjjGgGUA6NLw09EwE0CqkOc4q9oUmW1yo/edit?usp=sharing"",""เชียงใหม่!M467"")"),21200)</f>
        <v>21200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IFERROR(__xludf.DUMMYFUNCTION("IMPORTRANGE(""https://docs.google.com/spreadsheets/d/11923uPwbBZFjjGgGUA6NLw09EwE0CqkOc4q9oUmW1yo/edit?usp=sharing"",""เชียงใหม่!J468"")"),1380)</f>
        <v>1380</v>
      </c>
      <c r="K573" s="201">
        <f ca="1">IF(I573&gt;0,J573*100/I573,0)</f>
        <v>138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IFERROR(__xludf.DUMMYFUNCTION("IMPORTRANGE(""https://docs.google.com/spreadsheets/d/11923uPwbBZFjjGgGUA6NLw09EwE0CqkOc4q9oUmW1yo/edit?usp=sharing"",""เชียงใหม่!J471"")"),363)</f>
        <v>363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IFERROR(__xludf.DUMMYFUNCTION("IMPORTRANGE(""https://docs.google.com/spreadsheets/d/11923uPwbBZFjjGgGUA6NLw09EwE0CqkOc4q9oUmW1yo/edit?usp=sharing"",""เชียงใหม่!J472"")"),981)</f>
        <v>981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IFERROR(__xludf.DUMMYFUNCTION("IMPORTRANGE(""https://docs.google.com/spreadsheets/d/11923uPwbBZFjjGgGUA6NLw09EwE0CqkOc4q9oUmW1yo/edit?usp=sharing"",""เชียงใหม่!J474"")"),35)</f>
        <v>35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IFERROR(__xludf.DUMMYFUNCTION("IMPORTRANGE(""https://docs.google.com/spreadsheets/d/11923uPwbBZFjjGgGUA6NLw09EwE0CqkOc4q9oUmW1yo/edit?usp=sharing"",""เชียงใหม่!L475"")"),195230)</f>
        <v>195230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5.5934026532807462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IFERROR(__xludf.DUMMYFUNCTION("IMPORTRANGE(""https://docs.google.com/spreadsheets/d/11923uPwbBZFjjGgGUA6NLw09EwE0CqkOc4q9oUmW1yo/edit?usp=sharing"",""เชียงใหม่!L477"")"),195230)</f>
        <v>195230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5.5934026532807462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IFERROR(__xludf.DUMMYFUNCTION("IMPORTRANGE(""https://docs.google.com/spreadsheets/d/11923uPwbBZFjjGgGUA6NLw09EwE0CqkOc4q9oUmW1yo/edit?usp=sharing"",""เชียงใหม่!L479"")"),195230)</f>
        <v>195230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5.5934026532807462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IFERROR(__xludf.DUMMYFUNCTION("IMPORTRANGE(""https://docs.google.com/spreadsheets/d/11923uPwbBZFjjGgGUA6NLw09EwE0CqkOc4q9oUmW1yo/edit?usp=sharing"",""เชียงใหม่!J484"")"),32)</f>
        <v>32</v>
      </c>
      <c r="K589" s="163">
        <f t="shared" ref="K589:K596" ca="1" si="125">IF(I589&gt;0,J589*100/I589,0)</f>
        <v>106.66666666666667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IFERROR(__xludf.DUMMYFUNCTION("IMPORTRANGE(""https://docs.google.com/spreadsheets/d/11923uPwbBZFjjGgGUA6NLw09EwE0CqkOc4q9oUmW1yo/edit?usp=sharing"",""เชียงใหม่!J485"")"),13.38)</f>
        <v>13.38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IFERROR(__xludf.DUMMYFUNCTION("IMPORTRANGE(""https://docs.google.com/spreadsheets/d/11923uPwbBZFjjGgGUA6NLw09EwE0CqkOc4q9oUmW1yo/edit?usp=sharing"",""เชียงใหม่!J486"")"),19)</f>
        <v>19</v>
      </c>
      <c r="K591" s="163">
        <f t="shared" ca="1" si="125"/>
        <v>63.333333333333336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IFERROR(__xludf.DUMMYFUNCTION("IMPORTRANGE(""https://docs.google.com/spreadsheets/d/11923uPwbBZFjjGgGUA6NLw09EwE0CqkOc4q9oUmW1yo/edit?usp=sharing"",""เชียงใหม่!J487"")"),7.26)</f>
        <v>7.26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8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IFERROR(__xludf.DUMMYFUNCTION("IMPORTRANGE(""https://docs.google.com/spreadsheets/d/11923uPwbBZFjjGgGUA6NLw09EwE0CqkOc4q9oUmW1yo/edit?usp=sharing"",""เชียงใหม่!J523"")"),2444228.21)</f>
        <v>2444228.21</v>
      </c>
      <c r="K628" s="342">
        <f t="shared" ref="K628:K635" ca="1" si="129">IF(I628&gt;0,J628*100/I628,0)</f>
        <v>88.353755025951955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IFERROR(__xludf.DUMMYFUNCTION("IMPORTRANGE(""https://docs.google.com/spreadsheets/d/11923uPwbBZFjjGgGUA6NLw09EwE0CqkOc4q9oUmW1yo/edit?usp=sharing"",""เชียงใหม่!J524"")"),140)</f>
        <v>140</v>
      </c>
      <c r="K629" s="342">
        <f t="shared" ca="1" si="129"/>
        <v>88.050314465408803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IFERROR(__xludf.DUMMYFUNCTION("IMPORTRANGE(""https://docs.google.com/spreadsheets/d/11923uPwbBZFjjGgGUA6NLw09EwE0CqkOc4q9oUmW1yo/edit?usp=sharing"",""เชียงใหม่!J525"")"),97114.59)</f>
        <v>97114.59</v>
      </c>
      <c r="K630" s="342">
        <f t="shared" ca="1" si="129"/>
        <v>15.250115273393723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IFERROR(__xludf.DUMMYFUNCTION("IMPORTRANGE(""https://docs.google.com/spreadsheets/d/11923uPwbBZFjjGgGUA6NLw09EwE0CqkOc4q9oUmW1yo/edit?usp=sharing"",""เชียงใหม่!J526"")"),28)</f>
        <v>28</v>
      </c>
      <c r="K631" s="342">
        <f t="shared" ca="1" si="129"/>
        <v>68.292682926829272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IFERROR(__xludf.DUMMYFUNCTION("IMPORTRANGE(""https://docs.google.com/spreadsheets/d/11923uPwbBZFjjGgGUA6NLw09EwE0CqkOc4q9oUmW1yo/edit?usp=sharing"",""เชียงใหม่!J527"")"),32917.6)</f>
        <v>32917.599999999999</v>
      </c>
      <c r="K632" s="342">
        <f t="shared" ca="1" si="129"/>
        <v>32.636961297197658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IFERROR(__xludf.DUMMYFUNCTION("IMPORTRANGE(""https://docs.google.com/spreadsheets/d/11923uPwbBZFjjGgGUA6NLw09EwE0CqkOc4q9oUmW1yo/edit?usp=sharing"",""เชียงใหม่!J528"")"),19)</f>
        <v>19</v>
      </c>
      <c r="K633" s="342">
        <f t="shared" ca="1" si="129"/>
        <v>82.608695652173907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IFERROR(__xludf.DUMMYFUNCTION("IMPORTRANGE(""https://docs.google.com/spreadsheets/d/11923uPwbBZFjjGgGUA6NLw09EwE0CqkOc4q9oUmW1yo/edit?usp=sharing"",""เชียงใหม่!I530"")"),63)</f>
        <v>63</v>
      </c>
      <c r="J635" s="505">
        <f ca="1">IFERROR(__xludf.DUMMYFUNCTION("IMPORTRANGE(""https://docs.google.com/spreadsheets/d/11923uPwbBZFjjGgGUA6NLw09EwE0CqkOc4q9oUmW1yo/edit?usp=sharing"",""เชียงใหม่!J530"")"),69)</f>
        <v>69</v>
      </c>
      <c r="K635" s="487">
        <f t="shared" ca="1" si="129"/>
        <v>109.52380952380952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5525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5525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5525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IFERROR(__xludf.DUMMYFUNCTION("IMPORTRANGE(""https://docs.google.com/spreadsheets/d/11923uPwbBZFjjGgGUA6NLw09EwE0CqkOc4q9oUmW1yo/edit?usp=sharing"",""เชียงใหม่!J541"")"),1)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IFERROR(__xludf.DUMMYFUNCTION("IMPORTRANGE(""https://docs.google.com/spreadsheets/d/11923uPwbBZFjjGgGUA6NLw09EwE0CqkOc4q9oUmW1yo/edit?usp=sharing"",""เชียงใหม่!J542"")"),0)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IFERROR(__xludf.DUMMYFUNCTION("IMPORTRANGE(""https://docs.google.com/spreadsheets/d/11923uPwbBZFjjGgGUA6NLw09EwE0CqkOc4q9oUmW1yo/edit?usp=sharing"",""เชียงใหม่!I543"")"),0)</f>
        <v>0</v>
      </c>
      <c r="J648" s="536">
        <f ca="1">IFERROR(__xludf.DUMMYFUNCTION("IMPORTRANGE(""https://docs.google.com/spreadsheets/d/11923uPwbBZFjjGgGUA6NLw09EwE0CqkOc4q9oUmW1yo/edit?usp=sharing"",""เชียงใหม่!J543"")"),0)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IFERROR(__xludf.DUMMYFUNCTION("IMPORTRANGE(""https://docs.google.com/spreadsheets/d/11923uPwbBZFjjGgGUA6NLw09EwE0CqkOc4q9oUmW1yo/edit?usp=sharing"",""เชียงใหม่!L543"")"),0)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IFERROR(__xludf.DUMMYFUNCTION("IMPORTRANGE(""https://docs.google.com/spreadsheets/d/11923uPwbBZFjjGgGUA6NLw09EwE0CqkOc4q9oUmW1yo/edit?usp=sharing"",""เชียงใหม่!M543"")"),0)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IFERROR(__xludf.DUMMYFUNCTION("IMPORTRANGE(""https://docs.google.com/spreadsheets/d/11923uPwbBZFjjGgGUA6NLw09EwE0CqkOc4q9oUmW1yo/edit?usp=sharing"",""เชียงใหม่!I544"")"),22)</f>
        <v>22</v>
      </c>
      <c r="J649" s="536">
        <f ca="1">IFERROR(__xludf.DUMMYFUNCTION("IMPORTRANGE(""https://docs.google.com/spreadsheets/d/11923uPwbBZFjjGgGUA6NLw09EwE0CqkOc4q9oUmW1yo/edit?usp=sharing"",""เชียงใหม่!J544"")"),0)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IFERROR(__xludf.DUMMYFUNCTION("IMPORTRANGE(""https://docs.google.com/spreadsheets/d/11923uPwbBZFjjGgGUA6NLw09EwE0CqkOc4q9oUmW1yo/edit?usp=sharing"",""เชียงใหม่!L544"")"),2640)</f>
        <v>2640</v>
      </c>
      <c r="M649" s="521"/>
      <c r="N649" s="538">
        <f ca="1">IFERROR(__xludf.DUMMYFUNCTION("IMPORTRANGE(""https://docs.google.com/spreadsheets/d/11923uPwbBZFjjGgGUA6NLw09EwE0CqkOc4q9oUmW1yo/edit?usp=sharing"",""เชียงใหม่!M544"")"),0)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IFERROR(__xludf.DUMMYFUNCTION("IMPORTRANGE(""https://docs.google.com/spreadsheets/d/11923uPwbBZFjjGgGUA6NLw09EwE0CqkOc4q9oUmW1yo/edit?usp=sharing"",""เชียงใหม่!I545"")"),0)</f>
        <v>0</v>
      </c>
      <c r="J650" s="536">
        <f ca="1">IFERROR(__xludf.DUMMYFUNCTION("IMPORTRANGE(""https://docs.google.com/spreadsheets/d/11923uPwbBZFjjGgGUA6NLw09EwE0CqkOc4q9oUmW1yo/edit?usp=sharing"",""เชียงใหม่!J545"")"),0)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IFERROR(__xludf.DUMMYFUNCTION("IMPORTRANGE(""https://docs.google.com/spreadsheets/d/11923uPwbBZFjjGgGUA6NLw09EwE0CqkOc4q9oUmW1yo/edit?usp=sharing"",""เชียงใหม่!L545"")"),0)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IFERROR(__xludf.DUMMYFUNCTION("IMPORTRANGE(""https://docs.google.com/spreadsheets/d/11923uPwbBZFjjGgGUA6NLw09EwE0CqkOc4q9oUmW1yo/edit?usp=sharing"",""เชียงใหม่!M545"")"),0)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IFERROR(__xludf.DUMMYFUNCTION("IMPORTRANGE(""https://docs.google.com/spreadsheets/d/11923uPwbBZFjjGgGUA6NLw09EwE0CqkOc4q9oUmW1yo/edit?usp=sharing"",""เชียงใหม่!I546"")"),101)</f>
        <v>101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IFERROR(__xludf.DUMMYFUNCTION("IMPORTRANGE(""https://docs.google.com/spreadsheets/d/11923uPwbBZFjjGgGUA6NLw09EwE0CqkOc4q9oUmW1yo/edit?usp=sharing"",""เชียงใหม่!L546"")"),2525)</f>
        <v>2525</v>
      </c>
      <c r="M651" s="521"/>
      <c r="N651" s="538">
        <f ca="1">IFERROR(__xludf.DUMMYFUNCTION("IMPORTRANGE(""https://docs.google.com/spreadsheets/d/11923uPwbBZFjjGgGUA6NLw09EwE0CqkOc4q9oUmW1yo/edit?usp=sharing"",""เชียงใหม่!M546"")"),0)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IFERROR(__xludf.DUMMYFUNCTION("IMPORTRANGE(""https://docs.google.com/spreadsheets/d/11923uPwbBZFjjGgGUA6NLw09EwE0CqkOc4q9oUmW1yo/edit?usp=sharing"",""เชียงใหม่!J547"")"),0)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IFERROR(__xludf.DUMMYFUNCTION("IMPORTRANGE(""https://docs.google.com/spreadsheets/d/11923uPwbBZFjjGgGUA6NLw09EwE0CqkOc4q9oUmW1yo/edit?usp=sharing"",""เชียงใหม่!J548"")"),0)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IFERROR(__xludf.DUMMYFUNCTION("IMPORTRANGE(""https://docs.google.com/spreadsheets/d/11923uPwbBZFjjGgGUA6NLw09EwE0CqkOc4q9oUmW1yo/edit?usp=sharing"",""เชียงใหม่!J550"")"),0)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IFERROR(__xludf.DUMMYFUNCTION("IMPORTRANGE(""https://docs.google.com/spreadsheets/d/11923uPwbBZFjjGgGUA6NLw09EwE0CqkOc4q9oUmW1yo/edit?usp=sharing"",""เชียงใหม่!J551"")"),0)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IFERROR(__xludf.DUMMYFUNCTION("IMPORTRANGE(""https://docs.google.com/spreadsheets/d/11923uPwbBZFjjGgGUA6NLw09EwE0CqkOc4q9oUmW1yo/edit?usp=sharing"",""เชียงใหม่!J552"")"),0)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IFERROR(__xludf.DUMMYFUNCTION("IMPORTRANGE(""https://docs.google.com/spreadsheets/d/11923uPwbBZFjjGgGUA6NLw09EwE0CqkOc4q9oUmW1yo/edit?usp=sharing"",""เชียงใหม่!J553"")"),0)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IFERROR(__xludf.DUMMYFUNCTION("IMPORTRANGE(""https://docs.google.com/spreadsheets/d/11923uPwbBZFjjGgGUA6NLw09EwE0CqkOc4q9oUmW1yo/edit?usp=sharing"",""เชียงใหม่!J554"")"),0)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IFERROR(__xludf.DUMMYFUNCTION("IMPORTRANGE(""https://docs.google.com/spreadsheets/d/11923uPwbBZFjjGgGUA6NLw09EwE0CqkOc4q9oUmW1yo/edit?usp=sharing"",""เชียงใหม่!J555"")"),0)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IFERROR(__xludf.DUMMYFUNCTION("IMPORTRANGE(""https://docs.google.com/spreadsheets/d/11923uPwbBZFjjGgGUA6NLw09EwE0CqkOc4q9oUmW1yo/edit?usp=sharing"",""เชียงใหม่!J556"")"),0)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IFERROR(__xludf.DUMMYFUNCTION("IMPORTRANGE(""https://docs.google.com/spreadsheets/d/11923uPwbBZFjjGgGUA6NLw09EwE0CqkOc4q9oUmW1yo/edit?usp=sharing"",""เชียงใหม่!L556"")"),360)</f>
        <v>360</v>
      </c>
      <c r="M661" s="521"/>
      <c r="N661" s="538">
        <f ca="1">IFERROR(__xludf.DUMMYFUNCTION("IMPORTRANGE(""https://docs.google.com/spreadsheets/d/11923uPwbBZFjjGgGUA6NLw09EwE0CqkOc4q9oUmW1yo/edit?usp=sharing"",""เชียงใหม่!M556"")"),0)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IFERROR(__xludf.DUMMYFUNCTION("IMPORTRANGE(""https://docs.google.com/spreadsheets/d/11923uPwbBZFjjGgGUA6NLw09EwE0CqkOc4q9oUmW1yo/edit?usp=sharing"",""เชียงใหม่!J557"")"),0)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IFERROR(__xludf.DUMMYFUNCTION("IMPORTRANGE(""https://docs.google.com/spreadsheets/d/11923uPwbBZFjjGgGUA6NLw09EwE0CqkOc4q9oUmW1yo/edit?usp=sharing"",""เชียงใหม่!I558"")"),9)</f>
        <v>9</v>
      </c>
      <c r="J663" s="536">
        <f ca="1">IFERROR(__xludf.DUMMYFUNCTION("IMPORTRANGE(""https://docs.google.com/spreadsheets/d/11923uPwbBZFjjGgGUA6NLw09EwE0CqkOc4q9oUmW1yo/edit?usp=sharing"",""เชียงใหม่!J558"")"),0)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IFERROR(__xludf.DUMMYFUNCTION("IMPORTRANGE(""https://docs.google.com/spreadsheets/d/11923uPwbBZFjjGgGUA6NLw09EwE0CqkOc4q9oUmW1yo/edit?usp=sharing"",""เชียงใหม่!I560"")"),0)</f>
        <v>0</v>
      </c>
      <c r="J665" s="536">
        <f ca="1">IFERROR(__xludf.DUMMYFUNCTION("IMPORTRANGE(""https://docs.google.com/spreadsheets/d/11923uPwbBZFjjGgGUA6NLw09EwE0CqkOc4q9oUmW1yo/edit?usp=sharing"",""เชียงใหม่!J560"")"),0)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IFERROR(__xludf.DUMMYFUNCTION("IMPORTRANGE(""https://docs.google.com/spreadsheets/d/11923uPwbBZFjjGgGUA6NLw09EwE0CqkOc4q9oUmW1yo/edit?usp=sharing"",""เชียงใหม่!L560"")"),0)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IFERROR(__xludf.DUMMYFUNCTION("IMPORTRANGE(""https://docs.google.com/spreadsheets/d/11923uPwbBZFjjGgGUA6NLw09EwE0CqkOc4q9oUmW1yo/edit?usp=sharing"",""เชียงใหม่!M560"")"),0)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IFERROR(__xludf.DUMMYFUNCTION("IMPORTRANGE(""https://docs.google.com/spreadsheets/d/11923uPwbBZFjjGgGUA6NLw09EwE0CqkOc4q9oUmW1yo/edit?usp=sharing"",""เชียงใหม่!J561"")"),0)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IFERROR(__xludf.DUMMYFUNCTION("IMPORTRANGE(""https://docs.google.com/spreadsheets/d/11923uPwbBZFjjGgGUA6NLw09EwE0CqkOc4q9oUmW1yo/edit?usp=sharing"",""เชียงใหม่!J562"")"),0)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IFERROR(__xludf.DUMMYFUNCTION("IMPORTRANGE(""https://docs.google.com/spreadsheets/d/11923uPwbBZFjjGgGUA6NLw09EwE0CqkOc4q9oUmW1yo/edit?usp=sharing"",""เชียงใหม่!I563"")"),0)</f>
        <v>0</v>
      </c>
      <c r="J668" s="536">
        <f ca="1">IFERROR(__xludf.DUMMYFUNCTION("IMPORTRANGE(""https://docs.google.com/spreadsheets/d/11923uPwbBZFjjGgGUA6NLw09EwE0CqkOc4q9oUmW1yo/edit?usp=sharing"",""เชียงใหม่!J563"")"),0)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IFERROR(__xludf.DUMMYFUNCTION("IMPORTRANGE(""https://docs.google.com/spreadsheets/d/11923uPwbBZFjjGgGUA6NLw09EwE0CqkOc4q9oUmW1yo/edit?usp=sharing"",""เชียงใหม่!L563"")"),0)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IFERROR(__xludf.DUMMYFUNCTION("IMPORTRANGE(""https://docs.google.com/spreadsheets/d/11923uPwbBZFjjGgGUA6NLw09EwE0CqkOc4q9oUmW1yo/edit?usp=sharing"",""เชียงใหม่!M563"")"),0)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IFERROR(__xludf.DUMMYFUNCTION("IMPORTRANGE(""https://docs.google.com/spreadsheets/d/11923uPwbBZFjjGgGUA6NLw09EwE0CqkOc4q9oUmW1yo/edit?usp=sharing"",""เชียงใหม่!J564"")"),0)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IFERROR(__xludf.DUMMYFUNCTION("IMPORTRANGE(""https://docs.google.com/spreadsheets/d/11923uPwbBZFjjGgGUA6NLw09EwE0CqkOc4q9oUmW1yo/edit?usp=sharing"",""เชียงใหม่!J565"")"),0)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IFERROR(__xludf.DUMMYFUNCTION("IMPORTRANGE(""https://docs.google.com/spreadsheets/d/11923uPwbBZFjjGgGUA6NLw09EwE0CqkOc4q9oUmW1yo/edit?usp=sharing"",""เชียงใหม่!I566"")"),0)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IFERROR(__xludf.DUMMYFUNCTION("IMPORTRANGE(""https://docs.google.com/spreadsheets/d/11923uPwbBZFjjGgGUA6NLw09EwE0CqkOc4q9oUmW1yo/edit?usp=sharing"",""เชียงใหม่!L566"")"),0)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IFERROR(__xludf.DUMMYFUNCTION("IMPORTRANGE(""https://docs.google.com/spreadsheets/d/11923uPwbBZFjjGgGUA6NLw09EwE0CqkOc4q9oUmW1yo/edit?usp=sharing"",""เชียงใหม่!M566"")"),0)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IFERROR(__xludf.DUMMYFUNCTION("IMPORTRANGE(""https://docs.google.com/spreadsheets/d/11923uPwbBZFjjGgGUA6NLw09EwE0CqkOc4q9oUmW1yo/edit?usp=sharing"",""เชียงใหม่!J567"")"),0)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IFERROR(__xludf.DUMMYFUNCTION("IMPORTRANGE(""https://docs.google.com/spreadsheets/d/11923uPwbBZFjjGgGUA6NLw09EwE0CqkOc4q9oUmW1yo/edit?usp=sharing"",""เชียงใหม่!J568"")"),0)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IFERROR(__xludf.DUMMYFUNCTION("IMPORTRANGE(""https://docs.google.com/spreadsheets/d/11923uPwbBZFjjGgGUA6NLw09EwE0CqkOc4q9oUmW1yo/edit?usp=sharing"",""เชียงใหม่!J569"")"),0)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IFERROR(__xludf.DUMMYFUNCTION("IMPORTRANGE(""https://docs.google.com/spreadsheets/d/11923uPwbBZFjjGgGUA6NLw09EwE0CqkOc4q9oUmW1yo/edit?usp=sharing"",""เชียงใหม่!J570"")"),0)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IFERROR(__xludf.DUMMYFUNCTION("IMPORTRANGE(""https://docs.google.com/spreadsheets/d/11923uPwbBZFjjGgGUA6NLw09EwE0CqkOc4q9oUmW1yo/edit?usp=sharing"",""เชียงใหม่!J571"")"),0)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IFERROR(__xludf.DUMMYFUNCTION("IMPORTRANGE(""https://docs.google.com/spreadsheets/d/11923uPwbBZFjjGgGUA6NLw09EwE0CqkOc4q9oUmW1yo/edit?usp=sharing"",""เชียงใหม่!J572"")"),0)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A1:P1"/>
    <mergeCell ref="A2:P2"/>
    <mergeCell ref="A3:P3"/>
    <mergeCell ref="F650:G650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140:G140"/>
    <mergeCell ref="D147:E147"/>
    <mergeCell ref="D220:G220"/>
    <mergeCell ref="D227:E227"/>
    <mergeCell ref="D250:G250"/>
    <mergeCell ref="D257:E257"/>
    <mergeCell ref="D271:G271"/>
    <mergeCell ref="D278:E278"/>
    <mergeCell ref="D290:G290"/>
    <mergeCell ref="D297:E297"/>
    <mergeCell ref="D310:G310"/>
    <mergeCell ref="D317:E317"/>
    <mergeCell ref="D329:G329"/>
    <mergeCell ref="D336:E336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4756014</v>
      </c>
      <c r="M8" s="23">
        <f t="shared" ca="1" si="0"/>
        <v>3068899</v>
      </c>
      <c r="N8" s="23">
        <f t="shared" ca="1" si="0"/>
        <v>3820345.33</v>
      </c>
      <c r="O8" s="22">
        <f t="shared" ref="O8:O16" ca="1" si="1">IF(L8&gt;0,N8*100/L8,0)</f>
        <v>80.326620779501496</v>
      </c>
      <c r="P8" s="22">
        <f t="shared" ref="P8:P16" ca="1" si="2">IF(M8&gt;0,N8*100/M8,0)</f>
        <v>124.48586056432616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4756014</v>
      </c>
      <c r="M10" s="30">
        <f t="shared" ca="1" si="4"/>
        <v>3068899</v>
      </c>
      <c r="N10" s="30">
        <f t="shared" ca="1" si="4"/>
        <v>3820345.33</v>
      </c>
      <c r="O10" s="29">
        <f t="shared" ca="1" si="1"/>
        <v>80.326620779501496</v>
      </c>
      <c r="P10" s="29">
        <f t="shared" ca="1" si="2"/>
        <v>124.48586056432616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4525394</v>
      </c>
      <c r="M12" s="39">
        <f t="shared" ca="1" si="6"/>
        <v>2838279</v>
      </c>
      <c r="N12" s="39">
        <f t="shared" ca="1" si="6"/>
        <v>3589725.33</v>
      </c>
      <c r="O12" s="39">
        <f t="shared" ca="1" si="1"/>
        <v>79.324039630582448</v>
      </c>
      <c r="P12" s="39">
        <f t="shared" ca="1" si="2"/>
        <v>126.47542154946713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1854900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2670494</v>
      </c>
      <c r="M14" s="39">
        <f t="shared" si="8"/>
        <v>0</v>
      </c>
      <c r="N14" s="39">
        <f t="shared" ca="1" si="8"/>
        <v>1345163.5</v>
      </c>
      <c r="O14" s="39">
        <f t="shared" ca="1" si="1"/>
        <v>50.371335790306965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2962786</v>
      </c>
      <c r="M18" s="23">
        <f t="shared" ca="1" si="11"/>
        <v>3068899</v>
      </c>
      <c r="N18" s="23">
        <f t="shared" ca="1" si="11"/>
        <v>2475181.83</v>
      </c>
      <c r="O18" s="22">
        <f t="shared" ref="O18:O20" ca="1" si="12">IF(L18&gt;0,N18*100/L18,0)</f>
        <v>83.542376330926359</v>
      </c>
      <c r="P18" s="22">
        <f t="shared" ref="P18:P26" ca="1" si="13">IF(M18&gt;0,N18*100/M18,0)</f>
        <v>80.653740315337842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2962786</v>
      </c>
      <c r="M20" s="30">
        <f t="shared" ca="1" si="15"/>
        <v>3068899</v>
      </c>
      <c r="N20" s="30">
        <f t="shared" ca="1" si="15"/>
        <v>2475181.83</v>
      </c>
      <c r="O20" s="29">
        <f t="shared" ca="1" si="12"/>
        <v>83.542376330926359</v>
      </c>
      <c r="P20" s="29">
        <f t="shared" ca="1" si="13"/>
        <v>80.653740315337842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2732166</v>
      </c>
      <c r="M22" s="42">
        <f t="shared" ca="1" si="18"/>
        <v>2838279</v>
      </c>
      <c r="N22" s="39">
        <f t="shared" ca="1" si="18"/>
        <v>2244561.83</v>
      </c>
      <c r="O22" s="39">
        <f t="shared" ca="1" si="17"/>
        <v>82.153201159812397</v>
      </c>
      <c r="P22" s="39">
        <f t="shared" ca="1" si="13"/>
        <v>79.081789704253879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1854900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877266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1793228</v>
      </c>
      <c r="M28" s="23">
        <f t="shared" si="23"/>
        <v>0</v>
      </c>
      <c r="N28" s="23">
        <f t="shared" ca="1" si="23"/>
        <v>1345163.5</v>
      </c>
      <c r="O28" s="22">
        <f t="shared" ref="O28:O30" ca="1" si="24">IF(L28&gt;0,N28*100/L28,0)</f>
        <v>75.013523099126274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1793228</v>
      </c>
      <c r="M30" s="30">
        <f t="shared" si="27"/>
        <v>0</v>
      </c>
      <c r="N30" s="30">
        <f t="shared" ca="1" si="27"/>
        <v>1345163.5</v>
      </c>
      <c r="O30" s="29">
        <f t="shared" ca="1" si="24"/>
        <v>75.013523099126274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1793228</v>
      </c>
      <c r="M32" s="39">
        <f t="shared" si="30"/>
        <v>0</v>
      </c>
      <c r="N32" s="39">
        <f t="shared" ca="1" si="30"/>
        <v>1345163.5</v>
      </c>
      <c r="O32" s="39">
        <f t="shared" ca="1" si="29"/>
        <v>75.013523099126274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1793228</v>
      </c>
      <c r="M34" s="39">
        <f t="shared" si="32"/>
        <v>0</v>
      </c>
      <c r="N34" s="39">
        <f t="shared" ca="1" si="32"/>
        <v>1345163.5</v>
      </c>
      <c r="O34" s="39">
        <f t="shared" ca="1" si="29"/>
        <v>75.013523099126274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2962786</v>
      </c>
      <c r="M37" s="55">
        <f t="shared" ca="1" si="33"/>
        <v>3068899</v>
      </c>
      <c r="N37" s="55">
        <f t="shared" ca="1" si="33"/>
        <v>2475181.83</v>
      </c>
      <c r="O37" s="56">
        <f t="shared" ca="1" si="29"/>
        <v>83.542376330926359</v>
      </c>
      <c r="P37" s="56">
        <f t="shared" ca="1" si="25"/>
        <v>80.653740315337842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694100</v>
      </c>
      <c r="N41" s="79">
        <f t="shared" ca="1" si="34"/>
        <v>541854.97</v>
      </c>
      <c r="O41" s="78">
        <f t="shared" ref="O41:O43" ca="1" si="35">IF(L41&gt;0,N41*100/L41,0)</f>
        <v>78.065836334822066</v>
      </c>
      <c r="P41" s="78">
        <f t="shared" ref="P41:P43" ca="1" si="36">IF(M41&gt;0,N41*100/M41,0)</f>
        <v>78.065836334822066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694100</v>
      </c>
      <c r="N43" s="79">
        <f t="shared" ca="1" si="38"/>
        <v>541854.97</v>
      </c>
      <c r="O43" s="78">
        <f t="shared" ca="1" si="35"/>
        <v>78.065836334822066</v>
      </c>
      <c r="P43" s="78">
        <f t="shared" ca="1" si="36"/>
        <v>78.065836334822066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694100</v>
      </c>
      <c r="M45" s="50">
        <f ca="1">IFERROR(__xludf.DUMMYFUNCTION("IMPORTRANGE(""https://docs.google.com/spreadsheets/d/1Yj_ptqi66GCucihVvJfMjLAmec39IyEx_6qawtMGysU/edit?usp=sharing"",""สบก!Q23"")"),694100)</f>
        <v>694100</v>
      </c>
      <c r="N45" s="50">
        <f ca="1">IFERROR(__xludf.DUMMYFUNCTION("IMPORTRANGE(""https://docs.google.com/spreadsheets/d/1Yj_ptqi66GCucihVvJfMjLAmec39IyEx_6qawtMGysU/edit?usp=sharing"",""สบก!R23"")"),541854.97)</f>
        <v>541854.97</v>
      </c>
      <c r="O45" s="39">
        <f ca="1">IF(L45&gt;0,N45*100/L45,0)</f>
        <v>78.065836334822066</v>
      </c>
      <c r="P45" s="39">
        <f ca="1">IF(M45&gt;0,N45*100/M45,0)</f>
        <v>78.065836334822066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IFERROR(__xludf.DUMMYFUNCTION("IMPORTRANGE(""https://docs.google.com/spreadsheets/d/1Yj_ptqi66GCucihVvJfMjLAmec39IyEx_6qawtMGysU/edit?usp=sharing"",""สบก!M23"")"),694100)</f>
        <v>694100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427763</v>
      </c>
      <c r="N53" s="121">
        <f t="shared" ca="1" si="39"/>
        <v>368913</v>
      </c>
      <c r="O53" s="120">
        <f t="shared" ref="O53:O55" ca="1" si="40">IF(L53&gt;0,N53*100/L53,0)</f>
        <v>92.228250000000003</v>
      </c>
      <c r="P53" s="120">
        <f t="shared" ref="P53:P55" ca="1" si="41">IF(M53&gt;0,N53*100/M53,0)</f>
        <v>86.242381879685709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427763</v>
      </c>
      <c r="N55" s="121">
        <f t="shared" ca="1" si="43"/>
        <v>368913</v>
      </c>
      <c r="O55" s="120">
        <f t="shared" ca="1" si="40"/>
        <v>92.228250000000003</v>
      </c>
      <c r="P55" s="120">
        <f t="shared" ca="1" si="41"/>
        <v>86.242381879685709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IFERROR(__xludf.DUMMYFUNCTION("IMPORTRANGE(""https://docs.google.com/spreadsheets/d/1Yj_ptqi66GCucihVvJfMjLAmec39IyEx_6qawtMGysU/edit?usp=sharing"",""สบก!Z23"")"),427763)</f>
        <v>427763</v>
      </c>
      <c r="N57" s="50">
        <f ca="1">IFERROR(__xludf.DUMMYFUNCTION("IMPORTRANGE(""https://docs.google.com/spreadsheets/d/1Yj_ptqi66GCucihVvJfMjLAmec39IyEx_6qawtMGysU/edit?usp=sharing"",""สบก!AA23"")"),368913)</f>
        <v>368913</v>
      </c>
      <c r="O57" s="39">
        <f ca="1">IF(L57&gt;0,N57*100/L57,0)</f>
        <v>92.228250000000003</v>
      </c>
      <c r="P57" s="39">
        <f ca="1">IF(M57&gt;0,N57*100/M57,0)</f>
        <v>86.242381879685709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250250</v>
      </c>
      <c r="N94" s="152">
        <f t="shared" ca="1" si="52"/>
        <v>237893</v>
      </c>
      <c r="O94" s="151">
        <f t="shared" ref="O94:O96" ca="1" si="53">IF(L94&gt;0,N94*100/L94,0)</f>
        <v>110.9058275058275</v>
      </c>
      <c r="P94" s="151">
        <f t="shared" ref="P94:P96" ca="1" si="54">IF(M94&gt;0,N94*100/M94,0)</f>
        <v>95.06213786213786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250250</v>
      </c>
      <c r="N96" s="88">
        <f t="shared" ca="1" si="56"/>
        <v>237893</v>
      </c>
      <c r="O96" s="156">
        <f t="shared" ca="1" si="53"/>
        <v>110.9058275058275</v>
      </c>
      <c r="P96" s="156">
        <f t="shared" ca="1" si="54"/>
        <v>95.06213786213786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IFERROR(__xludf.DUMMYFUNCTION("IMPORTRANGE(""https://docs.google.com/spreadsheets/d/1Yj_ptqi66GCucihVvJfMjLAmec39IyEx_6qawtMGysU/edit?usp=sharing"",""สบก!AR23"")"),157850)</f>
        <v>157850</v>
      </c>
      <c r="N98" s="168">
        <f ca="1">IFERROR(__xludf.DUMMYFUNCTION("IMPORTRANGE(""https://docs.google.com/spreadsheets/d/1Yj_ptqi66GCucihVvJfMjLAmec39IyEx_6qawtMGysU/edit?usp=sharing"",""สบก!AS23"")"),145493)</f>
        <v>145493</v>
      </c>
      <c r="O98" s="168">
        <f ca="1">IF(L98&gt;0,N98*100/L98,0)</f>
        <v>119.15888615888616</v>
      </c>
      <c r="P98" s="168">
        <f ca="1">IF(M98&gt;0,N98*100/M98,0)</f>
        <v>92.171681976560023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90406</v>
      </c>
      <c r="M118" s="152">
        <f t="shared" ca="1" si="58"/>
        <v>90406</v>
      </c>
      <c r="N118" s="152">
        <f t="shared" ca="1" si="58"/>
        <v>76125</v>
      </c>
      <c r="O118" s="151">
        <f t="shared" ref="O118:O120" ca="1" si="59">IF(L118&gt;0,N118*100/L118,0)</f>
        <v>84.203482069774125</v>
      </c>
      <c r="P118" s="151">
        <f t="shared" ref="P118:P120" ca="1" si="60">IF(M118&gt;0,N118*100/M118,0)</f>
        <v>84.203482069774125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90406</v>
      </c>
      <c r="M120" s="88">
        <f t="shared" ca="1" si="62"/>
        <v>90406</v>
      </c>
      <c r="N120" s="88">
        <f t="shared" ca="1" si="62"/>
        <v>76125</v>
      </c>
      <c r="O120" s="156">
        <f t="shared" ca="1" si="59"/>
        <v>84.203482069774125</v>
      </c>
      <c r="P120" s="156">
        <f t="shared" ca="1" si="60"/>
        <v>84.203482069774125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90406</v>
      </c>
      <c r="M122" s="167">
        <f ca="1">IFERROR(__xludf.DUMMYFUNCTION("IMPORTRANGE(""https://docs.google.com/spreadsheets/d/1Yj_ptqi66GCucihVvJfMjLAmec39IyEx_6qawtMGysU/edit?usp=sharing"",""สบก!BA23"")"),90406)</f>
        <v>90406</v>
      </c>
      <c r="N122" s="168">
        <f ca="1">IFERROR(__xludf.DUMMYFUNCTION("IMPORTRANGE(""https://docs.google.com/spreadsheets/d/1Yj_ptqi66GCucihVvJfMjLAmec39IyEx_6qawtMGysU/edit?usp=sharing"",""สบก!BB23"")"),76125)</f>
        <v>76125</v>
      </c>
      <c r="O122" s="168">
        <f ca="1">IF(L122&gt;0,N122*100/L122,0)</f>
        <v>84.203482069774125</v>
      </c>
      <c r="P122" s="168">
        <f ca="1">IF(M122&gt;0,N122*100/M122,0)</f>
        <v>84.203482069774125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IFERROR(__xludf.DUMMYFUNCTION("IMPORTRANGE(""https://docs.google.com/spreadsheets/d/1Yj_ptqi66GCucihVvJfMjLAmec39IyEx_6qawtMGysU/edit?usp=sharing"",""สบก!AX23"")"),90406)</f>
        <v>90406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116600</v>
      </c>
      <c r="M140" s="152">
        <f t="shared" ca="1" si="64"/>
        <v>120100</v>
      </c>
      <c r="N140" s="152">
        <f t="shared" ca="1" si="64"/>
        <v>78690</v>
      </c>
      <c r="O140" s="151">
        <f t="shared" ref="O140:O142" ca="1" si="65">IF(L140&gt;0,N140*100/L140,0)</f>
        <v>67.487135506003426</v>
      </c>
      <c r="P140" s="151">
        <f t="shared" ref="P140:P142" ca="1" si="66">IF(M140&gt;0,N140*100/M140,0)</f>
        <v>65.520399666944215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116600</v>
      </c>
      <c r="M142" s="88">
        <f t="shared" ca="1" si="68"/>
        <v>120100</v>
      </c>
      <c r="N142" s="88">
        <f t="shared" ca="1" si="68"/>
        <v>78690</v>
      </c>
      <c r="O142" s="156">
        <f t="shared" ca="1" si="65"/>
        <v>67.487135506003426</v>
      </c>
      <c r="P142" s="156">
        <f t="shared" ca="1" si="66"/>
        <v>65.520399666944215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116600</v>
      </c>
      <c r="M144" s="167">
        <f ca="1">IFERROR(__xludf.DUMMYFUNCTION("IMPORTRANGE(""https://docs.google.com/spreadsheets/d/1Yj_ptqi66GCucihVvJfMjLAmec39IyEx_6qawtMGysU/edit?usp=sharing"",""สบก!BJ23"")"),120100)</f>
        <v>120100</v>
      </c>
      <c r="N144" s="168">
        <f ca="1">IFERROR(__xludf.DUMMYFUNCTION("IMPORTRANGE(""https://docs.google.com/spreadsheets/d/1Yj_ptqi66GCucihVvJfMjLAmec39IyEx_6qawtMGysU/edit?usp=sharing"",""สบก!BK23"")"),78690)</f>
        <v>78690</v>
      </c>
      <c r="O144" s="168">
        <f ca="1">IF(L144&gt;0,N144*100/L144,0)</f>
        <v>67.487135506003426</v>
      </c>
      <c r="P144" s="168">
        <f ca="1">IF(M144&gt;0,N144*100/M144,0)</f>
        <v>65.520399666944215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IFERROR(__xludf.DUMMYFUNCTION("IMPORTRANGE(""https://docs.google.com/spreadsheets/d/1Yj_ptqi66GCucihVvJfMjLAmec39IyEx_6qawtMGysU/edit?usp=sharing"",""สบก!BG23"")"),116600)</f>
        <v>116600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20210</v>
      </c>
      <c r="M222" s="88">
        <f t="shared" ca="1" si="76"/>
        <v>20210</v>
      </c>
      <c r="N222" s="88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337600</v>
      </c>
      <c r="N271" s="152">
        <f t="shared" ca="1" si="83"/>
        <v>235030</v>
      </c>
      <c r="O271" s="151">
        <f t="shared" ref="O271:O273" ca="1" si="84">IF(L271&gt;0,N271*100/L271,0)</f>
        <v>69.617890995260666</v>
      </c>
      <c r="P271" s="151">
        <f t="shared" ref="P271:P273" ca="1" si="85">IF(M271&gt;0,N271*100/M271,0)</f>
        <v>69.617890995260666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337600</v>
      </c>
      <c r="N273" s="88">
        <f t="shared" ca="1" si="87"/>
        <v>235030</v>
      </c>
      <c r="O273" s="156">
        <f t="shared" ca="1" si="84"/>
        <v>69.617890995260666</v>
      </c>
      <c r="P273" s="156">
        <f t="shared" ca="1" si="85"/>
        <v>69.617890995260666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IFERROR(__xludf.DUMMYFUNCTION("IMPORTRANGE(""https://docs.google.com/spreadsheets/d/1Yj_ptqi66GCucihVvJfMjLAmec39IyEx_6qawtMGysU/edit?usp=sharing"",""สบก!CK23"")"),337600)</f>
        <v>337600</v>
      </c>
      <c r="N275" s="168">
        <f ca="1">IFERROR(__xludf.DUMMYFUNCTION("IMPORTRANGE(""https://docs.google.com/spreadsheets/d/1Yj_ptqi66GCucihVvJfMjLAmec39IyEx_6qawtMGysU/edit?usp=sharing"",""สบก!CL23"")"),235030)</f>
        <v>235030</v>
      </c>
      <c r="O275" s="168">
        <f ca="1">IF(L275&gt;0,N275*100/L275,0)</f>
        <v>69.617890995260666</v>
      </c>
      <c r="P275" s="168">
        <f ca="1">IF(M275&gt;0,N275*100/M275,0)</f>
        <v>69.617890995260666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IFERROR(__xludf.DUMMYFUNCTION("IMPORTRANGE(""https://docs.google.com/spreadsheets/d/11923uPwbBZFjjGgGUA6NLw09EwE0CqkOc4q9oUmW1yo/edit?usp=sharing"",""ตาก!J228"")"),388)</f>
        <v>388</v>
      </c>
      <c r="K328" s="317">
        <f ca="1">IF(I328&gt;0,J328*100/I328,0)</f>
        <v>117.57575757575758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1089370</v>
      </c>
      <c r="M329" s="152">
        <f t="shared" ca="1" si="98"/>
        <v>1128470</v>
      </c>
      <c r="N329" s="152">
        <f t="shared" ca="1" si="98"/>
        <v>916465.86</v>
      </c>
      <c r="O329" s="151">
        <f t="shared" ref="O329:O331" ca="1" si="99">IF(L329&gt;0,N329*100/L329,0)</f>
        <v>84.128061172971528</v>
      </c>
      <c r="P329" s="151">
        <f t="shared" ref="P329:P331" ca="1" si="100">IF(M329&gt;0,N329*100/M329,0)</f>
        <v>81.213134598172743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1089370</v>
      </c>
      <c r="M331" s="88">
        <f t="shared" ca="1" si="102"/>
        <v>1128470</v>
      </c>
      <c r="N331" s="88">
        <f t="shared" ca="1" si="102"/>
        <v>916465.86</v>
      </c>
      <c r="O331" s="156">
        <f t="shared" ca="1" si="99"/>
        <v>84.128061172971528</v>
      </c>
      <c r="P331" s="156">
        <f t="shared" ca="1" si="100"/>
        <v>81.213134598172743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951150</v>
      </c>
      <c r="M333" s="167">
        <f ca="1">IFERROR(__xludf.DUMMYFUNCTION("IMPORTRANGE(""https://docs.google.com/spreadsheets/d/1Yj_ptqi66GCucihVvJfMjLAmec39IyEx_6qawtMGysU/edit?usp=sharing"",""สบก!DL23"")"),990250)</f>
        <v>990250</v>
      </c>
      <c r="N333" s="168">
        <f ca="1">IFERROR(__xludf.DUMMYFUNCTION("IMPORTRANGE(""https://docs.google.com/spreadsheets/d/1Yj_ptqi66GCucihVvJfMjLAmec39IyEx_6qawtMGysU/edit?usp=sharing"",""สบก!DM23"")"),778245.86)</f>
        <v>778245.86</v>
      </c>
      <c r="O333" s="168">
        <f ca="1">IF(L333&gt;0,N333*100/L333,0)</f>
        <v>81.821569678809865</v>
      </c>
      <c r="P333" s="168">
        <f ca="1">IF(M333&gt;0,N333*100/M333,0)</f>
        <v>78.590846755869734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IFERROR(__xludf.DUMMYFUNCTION("IMPORTRANGE(""https://docs.google.com/spreadsheets/d/1Yj_ptqi66GCucihVvJfMjLAmec39IyEx_6qawtMGysU/edit?usp=sharing"",""สบก!DI23"")"),454350)</f>
        <v>454350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IFERROR(__xludf.DUMMYFUNCTION("IMPORTRANGE(""https://docs.google.com/spreadsheets/d/11923uPwbBZFjjGgGUA6NLw09EwE0CqkOc4q9oUmW1yo/edit?usp=sharing"",""ตาก!J234"")"),212)</f>
        <v>212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IFERROR(__xludf.DUMMYFUNCTION("IMPORTRANGE(""https://docs.google.com/spreadsheets/d/11923uPwbBZFjjGgGUA6NLw09EwE0CqkOc4q9oUmW1yo/edit?usp=sharing"",""ตาก!J235"")"),1605.92)</f>
        <v>1605.92</v>
      </c>
      <c r="K340" s="342">
        <f t="shared" ca="1" si="103"/>
        <v>53.530666666666669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IFERROR(__xludf.DUMMYFUNCTION("IMPORTRANGE(""https://docs.google.com/spreadsheets/d/11923uPwbBZFjjGgGUA6NLw09EwE0CqkOc4q9oUmW1yo/edit?usp=sharing"",""ตาก!J236"")"),389)</f>
        <v>389</v>
      </c>
      <c r="K341" s="342">
        <f t="shared" ca="1" si="103"/>
        <v>117.87878787878788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IFERROR(__xludf.DUMMYFUNCTION("IMPORTRANGE(""https://docs.google.com/spreadsheets/d/11923uPwbBZFjjGgGUA6NLw09EwE0CqkOc4q9oUmW1yo/edit?usp=sharing"",""ตาก!J237"")"),4620.26)</f>
        <v>4620.26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IFERROR(__xludf.DUMMYFUNCTION("IMPORTRANGE(""https://docs.google.com/spreadsheets/d/11923uPwbBZFjjGgGUA6NLw09EwE0CqkOc4q9oUmW1yo/edit?usp=sharing"",""ตาก!J240"")"),388)</f>
        <v>388</v>
      </c>
      <c r="K345" s="342">
        <f t="shared" ca="1" si="103"/>
        <v>117.57575757575758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IFERROR(__xludf.DUMMYFUNCTION("IMPORTRANGE(""https://docs.google.com/spreadsheets/d/11923uPwbBZFjjGgGUA6NLw09EwE0CqkOc4q9oUmW1yo/edit?usp=sharing"",""ตาก!J241"")"),4619.26)</f>
        <v>4619.26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IFERROR(__xludf.DUMMYFUNCTION("IMPORTRANGE(""https://docs.google.com/spreadsheets/d/11923uPwbBZFjjGgGUA6NLw09EwE0CqkOc4q9oUmW1yo/edit?usp=sharing"",""ตาก!L242"")"),1793228)</f>
        <v>1793228</v>
      </c>
      <c r="M347" s="357"/>
      <c r="N347" s="357">
        <f ca="1">IFERROR(__xludf.DUMMYFUNCTION("IMPORTRANGE(""https://docs.google.com/spreadsheets/d/11923uPwbBZFjjGgGUA6NLw09EwE0CqkOc4q9oUmW1yo/edit?usp=sharing"",""ตาก!M242"")"),1345163.5)</f>
        <v>1345163.5</v>
      </c>
      <c r="O347" s="357">
        <f ca="1">+IF(L347&gt;0,N347*100/L347,0)</f>
        <v>75.013523099126274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IFERROR(__xludf.DUMMYFUNCTION("IMPORTRANGE(""https://docs.google.com/spreadsheets/d/11923uPwbBZFjjGgGUA6NLw09EwE0CqkOc4q9oUmW1yo/edit?usp=sharing"",""ตาก!M275"")"),434810)</f>
        <v>434810</v>
      </c>
      <c r="O380" s="372">
        <f ca="1">+IF(L380&gt;0,N380*100/L380,0)</f>
        <v>94.49515364888947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IFERROR(__xludf.DUMMYFUNCTION("IMPORTRANGE(""https://docs.google.com/spreadsheets/d/11923uPwbBZFjjGgGUA6NLw09EwE0CqkOc4q9oUmW1yo/edit?usp=sharing"",""ตาก!M278"")"),434810)</f>
        <v>434810</v>
      </c>
      <c r="O383" s="165">
        <f t="shared" ca="1" si="109"/>
        <v>94.49515364888947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IFERROR(__xludf.DUMMYFUNCTION("IMPORTRANGE(""https://docs.google.com/spreadsheets/d/11923uPwbBZFjjGgGUA6NLw09EwE0CqkOc4q9oUmW1yo/edit?usp=sharing"",""ตาก!M280"")"),434810)</f>
        <v>434810</v>
      </c>
      <c r="O385" s="168">
        <f t="shared" ca="1" si="109"/>
        <v>94.49515364888947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IFERROR(__xludf.DUMMYFUNCTION("IMPORTRANGE(""https://docs.google.com/spreadsheets/d/11923uPwbBZFjjGgGUA6NLw09EwE0CqkOc4q9oUmW1yo/edit?usp=sharing"",""ตาก!M281"")"),85670)</f>
        <v>85670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IFERROR(__xludf.DUMMYFUNCTION("IMPORTRANGE(""https://docs.google.com/spreadsheets/d/11923uPwbBZFjjGgGUA6NLw09EwE0CqkOc4q9oUmW1yo/edit?usp=sharing"",""ตาก!M296"")"),220212)</f>
        <v>220212</v>
      </c>
      <c r="O401" s="372">
        <f ca="1">+IF(L401&gt;0,N401*100/L401,0)</f>
        <v>95.590571689022013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IFERROR(__xludf.DUMMYFUNCTION("IMPORTRANGE(""https://docs.google.com/spreadsheets/d/11923uPwbBZFjjGgGUA6NLw09EwE0CqkOc4q9oUmW1yo/edit?usp=sharing"",""ตาก!M299"")"),220212)</f>
        <v>220212</v>
      </c>
      <c r="O404" s="168">
        <f t="shared" ca="1" si="112"/>
        <v>95.590571689022013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IFERROR(__xludf.DUMMYFUNCTION("IMPORTRANGE(""https://docs.google.com/spreadsheets/d/11923uPwbBZFjjGgGUA6NLw09EwE0CqkOc4q9oUmW1yo/edit?usp=sharing"",""ตาก!M301"")"),220212)</f>
        <v>220212</v>
      </c>
      <c r="O406" s="168">
        <f t="shared" ca="1" si="112"/>
        <v>95.590571689022013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IFERROR(__xludf.DUMMYFUNCTION("IMPORTRANGE(""https://docs.google.com/spreadsheets/d/11923uPwbBZFjjGgGUA6NLw09EwE0CqkOc4q9oUmW1yo/edit?usp=sharing"",""ตาก!M302"")"),139192)</f>
        <v>139192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IFERROR(__xludf.DUMMYFUNCTION("IMPORTRANGE(""https://docs.google.com/spreadsheets/d/11923uPwbBZFjjGgGUA6NLw09EwE0CqkOc4q9oUmW1yo/edit?usp=sharing"",""ตาก!M330"")"),75868)</f>
        <v>75868</v>
      </c>
      <c r="O435" s="411">
        <f t="shared" ref="O435:O439" ca="1" si="114">+IF(L435&gt;0,N435*100/L435,0)</f>
        <v>75.867999999999995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IFERROR(__xludf.DUMMYFUNCTION("IMPORTRANGE(""https://docs.google.com/spreadsheets/d/11923uPwbBZFjjGgGUA6NLw09EwE0CqkOc4q9oUmW1yo/edit?usp=sharing"",""ตาก!M332"")"),75868)</f>
        <v>75868</v>
      </c>
      <c r="O437" s="168">
        <f t="shared" ca="1" si="114"/>
        <v>75.867999999999995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IFERROR(__xludf.DUMMYFUNCTION("IMPORTRANGE(""https://docs.google.com/spreadsheets/d/11923uPwbBZFjjGgGUA6NLw09EwE0CqkOc4q9oUmW1yo/edit?usp=sharing"",""ตาก!M334"")"),75868)</f>
        <v>75868</v>
      </c>
      <c r="O439" s="168">
        <f t="shared" ca="1" si="114"/>
        <v>75.867999999999995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IFERROR(__xludf.DUMMYFUNCTION("IMPORTRANGE(""https://docs.google.com/spreadsheets/d/11923uPwbBZFjjGgGUA6NLw09EwE0CqkOc4q9oUmW1yo/edit?usp=sharing"",""ตาก!M338"")"),31668)</f>
        <v>31668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IFERROR(__xludf.DUMMYFUNCTION("IMPORTRANGE(""https://docs.google.com/spreadsheets/d/11923uPwbBZFjjGgGUA6NLw09EwE0CqkOc4q9oUmW1yo/edit?usp=sharing"",""ตาก!J350"")"),53428)</f>
        <v>53428</v>
      </c>
      <c r="K455" s="371">
        <f ca="1">IF(I455&gt;0,J455*100/I455,0)</f>
        <v>96.517089385071174</v>
      </c>
      <c r="L455" s="372">
        <f ca="1">IFERROR(__xludf.DUMMYFUNCTION("IMPORTRANGE(""https://docs.google.com/spreadsheets/d/11923uPwbBZFjjGgGUA6NLw09EwE0CqkOc4q9oUmW1yo/edit?usp=sharing"",""ตาก!L350"")"),462178)</f>
        <v>462178</v>
      </c>
      <c r="M455" s="372"/>
      <c r="N455" s="372">
        <f ca="1">IFERROR(__xludf.DUMMYFUNCTION("IMPORTRANGE(""https://docs.google.com/spreadsheets/d/11923uPwbBZFjjGgGUA6NLw09EwE0CqkOc4q9oUmW1yo/edit?usp=sharing"",""ตาก!M350"")"),299388.25)</f>
        <v>299388.25</v>
      </c>
      <c r="O455" s="372">
        <f t="shared" ref="O455:O459" ca="1" si="116">+IF(L455&gt;0,N455*100/L455,0)</f>
        <v>64.777693875519816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IFERROR(__xludf.DUMMYFUNCTION("IMPORTRANGE(""https://docs.google.com/spreadsheets/d/11923uPwbBZFjjGgGUA6NLw09EwE0CqkOc4q9oUmW1yo/edit?usp=sharing"",""ตาก!M352"")"),299388.25)</f>
        <v>299388.25</v>
      </c>
      <c r="O457" s="168">
        <f t="shared" ca="1" si="116"/>
        <v>64.777693875519816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IFERROR(__xludf.DUMMYFUNCTION("IMPORTRANGE(""https://docs.google.com/spreadsheets/d/11923uPwbBZFjjGgGUA6NLw09EwE0CqkOc4q9oUmW1yo/edit?usp=sharing"",""ตาก!M354"")"),299388.25)</f>
        <v>299388.25</v>
      </c>
      <c r="O459" s="168">
        <f t="shared" ca="1" si="116"/>
        <v>64.777693875519816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IFERROR(__xludf.DUMMYFUNCTION("IMPORTRANGE(""https://docs.google.com/spreadsheets/d/11923uPwbBZFjjGgGUA6NLw09EwE0CqkOc4q9oUmW1yo/edit?usp=sharing"",""ตาก!M357"")"),87266)</f>
        <v>87266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IFERROR(__xludf.DUMMYFUNCTION("IMPORTRANGE(""https://docs.google.com/spreadsheets/d/11923uPwbBZFjjGgGUA6NLw09EwE0CqkOc4q9oUmW1yo/edit?usp=sharing"",""ตาก!M358"")"),212122.25)</f>
        <v>212122.25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IFERROR(__xludf.DUMMYFUNCTION("IMPORTRANGE(""https://docs.google.com/spreadsheets/d/11923uPwbBZFjjGgGUA6NLw09EwE0CqkOc4q9oUmW1yo/edit?usp=sharing"",""ตาก!J359"")"),53428)</f>
        <v>53428</v>
      </c>
      <c r="K464" s="268">
        <f t="shared" ref="K464:K515" ca="1" si="117">IF(I464&gt;0,J464*100/I464,0)</f>
        <v>96.517089385071174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IFERROR(__xludf.DUMMYFUNCTION("IMPORTRANGE(""https://docs.google.com/spreadsheets/d/11923uPwbBZFjjGgGUA6NLw09EwE0CqkOc4q9oUmW1yo/edit?usp=sharing"",""ตาก!J376"")"),53428)</f>
        <v>53428</v>
      </c>
      <c r="K481" s="201">
        <f t="shared" ca="1" si="117"/>
        <v>96.517089385071174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IFERROR(__xludf.DUMMYFUNCTION("IMPORTRANGE(""https://docs.google.com/spreadsheets/d/11923uPwbBZFjjGgGUA6NLw09EwE0CqkOc4q9oUmW1yo/edit?usp=sharing"",""ตาก!J377"")"),4375)</f>
        <v>4375</v>
      </c>
      <c r="K482" s="163">
        <f t="shared" ca="1" si="117"/>
        <v>97.092765201952957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IFERROR(__xludf.DUMMYFUNCTION("IMPORTRANGE(""https://docs.google.com/spreadsheets/d/11923uPwbBZFjjGgGUA6NLw09EwE0CqkOc4q9oUmW1yo/edit?usp=sharing"",""ตาก!J378"")"),52517)</f>
        <v>52517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IFERROR(__xludf.DUMMYFUNCTION("IMPORTRANGE(""https://docs.google.com/spreadsheets/d/11923uPwbBZFjjGgGUA6NLw09EwE0CqkOc4q9oUmW1yo/edit?usp=sharing"",""ตาก!J379"")"),4317)</f>
        <v>4317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IFERROR(__xludf.DUMMYFUNCTION("IMPORTRANGE(""https://docs.google.com/spreadsheets/d/11923uPwbBZFjjGgGUA6NLw09EwE0CqkOc4q9oUmW1yo/edit?usp=sharing"",""ตาก!J382"")"),911)</f>
        <v>911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IFERROR(__xludf.DUMMYFUNCTION("IMPORTRANGE(""https://docs.google.com/spreadsheets/d/11923uPwbBZFjjGgGUA6NLw09EwE0CqkOc4q9oUmW1yo/edit?usp=sharing"",""ตาก!J383"")"),58)</f>
        <v>58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IFERROR(__xludf.DUMMYFUNCTION("IMPORTRANGE(""https://docs.google.com/spreadsheets/d/11923uPwbBZFjjGgGUA6NLw09EwE0CqkOc4q9oUmW1yo/edit?usp=sharing"",""ตาก!J384"")"),911)</f>
        <v>911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IFERROR(__xludf.DUMMYFUNCTION("IMPORTRANGE(""https://docs.google.com/spreadsheets/d/11923uPwbBZFjjGgGUA6NLw09EwE0CqkOc4q9oUmW1yo/edit?usp=sharing"",""ตาก!J385"")"),58)</f>
        <v>58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IFERROR(__xludf.DUMMYFUNCTION("IMPORTRANGE(""https://docs.google.com/spreadsheets/d/11923uPwbBZFjjGgGUA6NLw09EwE0CqkOc4q9oUmW1yo/edit?usp=sharing"",""ตาก!J392"")"),102)</f>
        <v>102</v>
      </c>
      <c r="K497" s="444">
        <f t="shared" ca="1" si="117"/>
        <v>65.384615384615387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IFERROR(__xludf.DUMMYFUNCTION("IMPORTRANGE(""https://docs.google.com/spreadsheets/d/11923uPwbBZFjjGgGUA6NLw09EwE0CqkOc4q9oUmW1yo/edit?usp=sharing"",""ตาก!J393"")"),102)</f>
        <v>102</v>
      </c>
      <c r="K498" s="163">
        <f t="shared" ca="1" si="117"/>
        <v>65.384615384615387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IFERROR(__xludf.DUMMYFUNCTION("IMPORTRANGE(""https://docs.google.com/spreadsheets/d/11923uPwbBZFjjGgGUA6NLw09EwE0CqkOc4q9oUmW1yo/edit?usp=sharing"",""ตาก!J394"")"),17)</f>
        <v>17</v>
      </c>
      <c r="K499" s="201">
        <f t="shared" ca="1" si="117"/>
        <v>60.714285714285715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IFERROR(__xludf.DUMMYFUNCTION("IMPORTRANGE(""https://docs.google.com/spreadsheets/d/11923uPwbBZFjjGgGUA6NLw09EwE0CqkOc4q9oUmW1yo/edit?usp=sharing"",""ตาก!J395"")"),102)</f>
        <v>102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IFERROR(__xludf.DUMMYFUNCTION("IMPORTRANGE(""https://docs.google.com/spreadsheets/d/11923uPwbBZFjjGgGUA6NLw09EwE0CqkOc4q9oUmW1yo/edit?usp=sharing"",""ตาก!J397"")"),102)</f>
        <v>102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IFERROR(__xludf.DUMMYFUNCTION("IMPORTRANGE(""https://docs.google.com/spreadsheets/d/11923uPwbBZFjjGgGUA6NLw09EwE0CqkOc4q9oUmW1yo/edit?usp=sharing"",""ตาก!J420"")"),112)</f>
        <v>112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IFERROR(__xludf.DUMMYFUNCTION("IMPORTRANGE(""https://docs.google.com/spreadsheets/d/11923uPwbBZFjjGgGUA6NLw09EwE0CqkOc4q9oUmW1yo/edit?usp=sharing"",""ตาก!J421"")"),3)</f>
        <v>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IFERROR(__xludf.DUMMYFUNCTION("IMPORTRANGE(""https://docs.google.com/spreadsheets/d/11923uPwbBZFjjGgGUA6NLw09EwE0CqkOc4q9oUmW1yo/edit?usp=sharing"",""ตาก!J424"")"),112)</f>
        <v>112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IFERROR(__xludf.DUMMYFUNCTION("IMPORTRANGE(""https://docs.google.com/spreadsheets/d/11923uPwbBZFjjGgGUA6NLw09EwE0CqkOc4q9oUmW1yo/edit?usp=sharing"",""ตาก!L428"")"),34340)</f>
        <v>34340</v>
      </c>
      <c r="M533" s="411"/>
      <c r="N533" s="411">
        <f ca="1">IFERROR(__xludf.DUMMYFUNCTION("IMPORTRANGE(""https://docs.google.com/spreadsheets/d/11923uPwbBZFjjGgGUA6NLw09EwE0CqkOc4q9oUmW1yo/edit?usp=sharing"",""ตาก!M428"")"),30130)</f>
        <v>30130</v>
      </c>
      <c r="O533" s="411">
        <f t="shared" ref="O533:O537" ca="1" si="118">+IF(L533&gt;0,N533*100/L533,0)</f>
        <v>87.740244612696557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IFERROR(__xludf.DUMMYFUNCTION("IMPORTRANGE(""https://docs.google.com/spreadsheets/d/11923uPwbBZFjjGgGUA6NLw09EwE0CqkOc4q9oUmW1yo/edit?usp=sharing"",""ตาก!M430"")"),30130)</f>
        <v>30130</v>
      </c>
      <c r="O535" s="168">
        <f t="shared" ca="1" si="118"/>
        <v>87.740244612696557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IFERROR(__xludf.DUMMYFUNCTION("IMPORTRANGE(""https://docs.google.com/spreadsheets/d/11923uPwbBZFjjGgGUA6NLw09EwE0CqkOc4q9oUmW1yo/edit?usp=sharing"",""ตาก!M432"")"),30130)</f>
        <v>30130</v>
      </c>
      <c r="O537" s="168">
        <f t="shared" ca="1" si="118"/>
        <v>87.740244612696557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IFERROR(__xludf.DUMMYFUNCTION("IMPORTRANGE(""https://docs.google.com/spreadsheets/d/11923uPwbBZFjjGgGUA6NLw09EwE0CqkOc4q9oUmW1yo/edit?usp=sharing"",""ตาก!M436"")"),11390)</f>
        <v>11390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IFERROR(__xludf.DUMMYFUNCTION("IMPORTRANGE(""https://docs.google.com/spreadsheets/d/11923uPwbBZFjjGgGUA6NLw09EwE0CqkOc4q9oUmW1yo/edit?usp=sharing"",""ตาก!J459"")"),1427)</f>
        <v>1427</v>
      </c>
      <c r="K564" s="371">
        <f ca="1">IF(I564&gt;0,J564*100/I564,0)</f>
        <v>109.76923076923077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IFERROR(__xludf.DUMMYFUNCTION("IMPORTRANGE(""https://docs.google.com/spreadsheets/d/11923uPwbBZFjjGgGUA6NLw09EwE0CqkOc4q9oUmW1yo/edit?usp=sharing"",""ตาก!M459"")"),93595)</f>
        <v>93595</v>
      </c>
      <c r="O564" s="372">
        <f t="shared" ref="O564:O568" ca="1" si="122">+IF(L564&gt;0,N564*100/L564,0)</f>
        <v>73.075421611492814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IFERROR(__xludf.DUMMYFUNCTION("IMPORTRANGE(""https://docs.google.com/spreadsheets/d/11923uPwbBZFjjGgGUA6NLw09EwE0CqkOc4q9oUmW1yo/edit?usp=sharing"",""ตาก!M461"")"),93595)</f>
        <v>93595</v>
      </c>
      <c r="O566" s="168">
        <f t="shared" ca="1" si="122"/>
        <v>73.075421611492814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IFERROR(__xludf.DUMMYFUNCTION("IMPORTRANGE(""https://docs.google.com/spreadsheets/d/11923uPwbBZFjjGgGUA6NLw09EwE0CqkOc4q9oUmW1yo/edit?usp=sharing"",""ตาก!M463"")"),93595)</f>
        <v>93595</v>
      </c>
      <c r="O568" s="168">
        <f t="shared" ca="1" si="122"/>
        <v>73.075421611492814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IFERROR(__xludf.DUMMYFUNCTION("IMPORTRANGE(""https://docs.google.com/spreadsheets/d/11923uPwbBZFjjGgGUA6NLw09EwE0CqkOc4q9oUmW1yo/edit?usp=sharing"",""ตาก!M466"")"),64935)</f>
        <v>64935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IFERROR(__xludf.DUMMYFUNCTION("IMPORTRANGE(""https://docs.google.com/spreadsheets/d/11923uPwbBZFjjGgGUA6NLw09EwE0CqkOc4q9oUmW1yo/edit?usp=sharing"",""ตาก!J468"")"),1427)</f>
        <v>1427</v>
      </c>
      <c r="K573" s="201">
        <f ca="1">IF(I573&gt;0,J573*100/I573,0)</f>
        <v>109.76923076923077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IFERROR(__xludf.DUMMYFUNCTION("IMPORTRANGE(""https://docs.google.com/spreadsheets/d/11923uPwbBZFjjGgGUA6NLw09EwE0CqkOc4q9oUmW1yo/edit?usp=sharing"",""ตาก!J472"")"),998)</f>
        <v>998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IFERROR(__xludf.DUMMYFUNCTION("IMPORTRANGE(""https://docs.google.com/spreadsheets/d/11923uPwbBZFjjGgGUA6NLw09EwE0CqkOc4q9oUmW1yo/edit?usp=sharing"",""ตาก!M475"")"),190360.25)</f>
        <v>190360.25</v>
      </c>
      <c r="O580" s="372">
        <f t="shared" ref="O580:O584" ca="1" si="124">+IF(L580&gt;0,N580*100/L580,0)</f>
        <v>51.445935354845687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IFERROR(__xludf.DUMMYFUNCTION("IMPORTRANGE(""https://docs.google.com/spreadsheets/d/11923uPwbBZFjjGgGUA6NLw09EwE0CqkOc4q9oUmW1yo/edit?usp=sharing"",""ตาก!M477"")"),190360.25)</f>
        <v>190360.25</v>
      </c>
      <c r="O582" s="168">
        <f t="shared" ca="1" si="124"/>
        <v>51.445935354845687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IFERROR(__xludf.DUMMYFUNCTION("IMPORTRANGE(""https://docs.google.com/spreadsheets/d/11923uPwbBZFjjGgGUA6NLw09EwE0CqkOc4q9oUmW1yo/edit?usp=sharing"",""ตาก!M479"")"),190360.25)</f>
        <v>190360.25</v>
      </c>
      <c r="O584" s="168">
        <f t="shared" ca="1" si="124"/>
        <v>51.445935354845687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IFERROR(__xludf.DUMMYFUNCTION("IMPORTRANGE(""https://docs.google.com/spreadsheets/d/11923uPwbBZFjjGgGUA6NLw09EwE0CqkOc4q9oUmW1yo/edit?usp=sharing"",""ตาก!M482"")"),76266)</f>
        <v>76266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IFERROR(__xludf.DUMMYFUNCTION("IMPORTRANGE(""https://docs.google.com/spreadsheets/d/11923uPwbBZFjjGgGUA6NLw09EwE0CqkOc4q9oUmW1yo/edit?usp=sharing"",""ตาก!M483"")"),103094.25)</f>
        <v>103094.25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8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IFERROR(__xludf.DUMMYFUNCTION("IMPORTRANGE(""https://docs.google.com/spreadsheets/d/11923uPwbBZFjjGgGUA6NLw09EwE0CqkOc4q9oUmW1yo/edit?usp=sharing"",""ตาก!L492"")"),8100)</f>
        <v>8100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9.8765432098765427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IFERROR(__xludf.DUMMYFUNCTION("IMPORTRANGE(""https://docs.google.com/spreadsheets/d/11923uPwbBZFjjGgGUA6NLw09EwE0CqkOc4q9oUmW1yo/edit?usp=sharing"",""ตาก!J523"")"),1473245.97)</f>
        <v>1473245.97</v>
      </c>
      <c r="K628" s="342">
        <f t="shared" ref="K628:K635" ca="1" si="129">IF(I628&gt;0,J628*100/I628,0)</f>
        <v>72.76707537005845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IFERROR(__xludf.DUMMYFUNCTION("IMPORTRANGE(""https://docs.google.com/spreadsheets/d/11923uPwbBZFjjGgGUA6NLw09EwE0CqkOc4q9oUmW1yo/edit?usp=sharing"",""ตาก!J524"")"),139)</f>
        <v>139</v>
      </c>
      <c r="K629" s="342">
        <f t="shared" ca="1" si="129"/>
        <v>78.531073446327682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IFERROR(__xludf.DUMMYFUNCTION("IMPORTRANGE(""https://docs.google.com/spreadsheets/d/11923uPwbBZFjjGgGUA6NLw09EwE0CqkOc4q9oUmW1yo/edit?usp=sharing"",""ตาก!J525"")"),583364.92)</f>
        <v>583364.92000000004</v>
      </c>
      <c r="K630" s="342">
        <f t="shared" ca="1" si="129"/>
        <v>7.5768416587928291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IFERROR(__xludf.DUMMYFUNCTION("IMPORTRANGE(""https://docs.google.com/spreadsheets/d/11923uPwbBZFjjGgGUA6NLw09EwE0CqkOc4q9oUmW1yo/edit?usp=sharing"",""ตาก!J526"")"),178)</f>
        <v>178</v>
      </c>
      <c r="K631" s="342">
        <f t="shared" ca="1" si="129"/>
        <v>60.958904109589042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IFERROR(__xludf.DUMMYFUNCTION("IMPORTRANGE(""https://docs.google.com/spreadsheets/d/11923uPwbBZFjjGgGUA6NLw09EwE0CqkOc4q9oUmW1yo/edit?usp=sharing"",""ตาก!J529"")"),3000000)</f>
        <v>3000000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IFERROR(__xludf.DUMMYFUNCTION("IMPORTRANGE(""https://docs.google.com/spreadsheets/d/11923uPwbBZFjjGgGUA6NLw09EwE0CqkOc4q9oUmW1yo/edit?usp=sharing"",""ตาก!I530"")"),100)</f>
        <v>100</v>
      </c>
      <c r="J635" s="505">
        <f ca="1">IFERROR(__xludf.DUMMYFUNCTION("IMPORTRANGE(""https://docs.google.com/spreadsheets/d/11923uPwbBZFjjGgGUA6NLw09EwE0CqkOc4q9oUmW1yo/edit?usp=sharing"",""ตาก!J530"")"),102)</f>
        <v>102</v>
      </c>
      <c r="K635" s="487">
        <f t="shared" ca="1" si="129"/>
        <v>102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IFERROR(__xludf.DUMMYFUNCTION("IMPORTRANGE(""https://docs.google.com/spreadsheets/d/11923uPwbBZFjjGgGUA6NLw09EwE0CqkOc4q9oUmW1yo/edit?usp=sharing"",""ตาก!J541"")"),0)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IFERROR(__xludf.DUMMYFUNCTION("IMPORTRANGE(""https://docs.google.com/spreadsheets/d/11923uPwbBZFjjGgGUA6NLw09EwE0CqkOc4q9oUmW1yo/edit?usp=sharing"",""ตาก!J542"")"),0)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IFERROR(__xludf.DUMMYFUNCTION("IMPORTRANGE(""https://docs.google.com/spreadsheets/d/11923uPwbBZFjjGgGUA6NLw09EwE0CqkOc4q9oUmW1yo/edit?usp=sharing"",""ตาก!I543"")"),0)</f>
        <v>0</v>
      </c>
      <c r="J648" s="536">
        <f ca="1">IFERROR(__xludf.DUMMYFUNCTION("IMPORTRANGE(""https://docs.google.com/spreadsheets/d/11923uPwbBZFjjGgGUA6NLw09EwE0CqkOc4q9oUmW1yo/edit?usp=sharing"",""ตาก!J543"")"),0)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IFERROR(__xludf.DUMMYFUNCTION("IMPORTRANGE(""https://docs.google.com/spreadsheets/d/11923uPwbBZFjjGgGUA6NLw09EwE0CqkOc4q9oUmW1yo/edit?usp=sharing"",""ตาก!L543"")"),0)</f>
        <v>0</v>
      </c>
      <c r="M648" s="521"/>
      <c r="N648" s="538">
        <f ca="1">IFERROR(__xludf.DUMMYFUNCTION("IMPORTRANGE(""https://docs.google.com/spreadsheets/d/11923uPwbBZFjjGgGUA6NLw09EwE0CqkOc4q9oUmW1yo/edit?usp=sharing"",""ตาก!M543"")"),0)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IFERROR(__xludf.DUMMYFUNCTION("IMPORTRANGE(""https://docs.google.com/spreadsheets/d/11923uPwbBZFjjGgGUA6NLw09EwE0CqkOc4q9oUmW1yo/edit?usp=sharing"",""ตาก!I544"")"),0)</f>
        <v>0</v>
      </c>
      <c r="J649" s="536">
        <f ca="1">IFERROR(__xludf.DUMMYFUNCTION("IMPORTRANGE(""https://docs.google.com/spreadsheets/d/11923uPwbBZFjjGgGUA6NLw09EwE0CqkOc4q9oUmW1yo/edit?usp=sharing"",""ตาก!J544"")"),0)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IFERROR(__xludf.DUMMYFUNCTION("IMPORTRANGE(""https://docs.google.com/spreadsheets/d/11923uPwbBZFjjGgGUA6NLw09EwE0CqkOc4q9oUmW1yo/edit?usp=sharing"",""ตาก!L544"")"),0)</f>
        <v>0</v>
      </c>
      <c r="M649" s="521"/>
      <c r="N649" s="538">
        <f ca="1">IFERROR(__xludf.DUMMYFUNCTION("IMPORTRANGE(""https://docs.google.com/spreadsheets/d/11923uPwbBZFjjGgGUA6NLw09EwE0CqkOc4q9oUmW1yo/edit?usp=sharing"",""ตาก!M544"")"),0)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IFERROR(__xludf.DUMMYFUNCTION("IMPORTRANGE(""https://docs.google.com/spreadsheets/d/11923uPwbBZFjjGgGUA6NLw09EwE0CqkOc4q9oUmW1yo/edit?usp=sharing"",""ตาก!I545"")"),0)</f>
        <v>0</v>
      </c>
      <c r="J650" s="536">
        <f ca="1">IFERROR(__xludf.DUMMYFUNCTION("IMPORTRANGE(""https://docs.google.com/spreadsheets/d/11923uPwbBZFjjGgGUA6NLw09EwE0CqkOc4q9oUmW1yo/edit?usp=sharing"",""ตาก!J545"")"),0)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IFERROR(__xludf.DUMMYFUNCTION("IMPORTRANGE(""https://docs.google.com/spreadsheets/d/11923uPwbBZFjjGgGUA6NLw09EwE0CqkOc4q9oUmW1yo/edit?usp=sharing"",""ตาก!L545"")"),0)</f>
        <v>0</v>
      </c>
      <c r="M650" s="521"/>
      <c r="N650" s="538">
        <f ca="1">IFERROR(__xludf.DUMMYFUNCTION("IMPORTRANGE(""https://docs.google.com/spreadsheets/d/11923uPwbBZFjjGgGUA6NLw09EwE0CqkOc4q9oUmW1yo/edit?usp=sharing"",""ตาก!M545"")"),0)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IFERROR(__xludf.DUMMYFUNCTION("IMPORTRANGE(""https://docs.google.com/spreadsheets/d/11923uPwbBZFjjGgGUA6NLw09EwE0CqkOc4q9oUmW1yo/edit?usp=sharing"",""ตาก!I546"")"),0)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IFERROR(__xludf.DUMMYFUNCTION("IMPORTRANGE(""https://docs.google.com/spreadsheets/d/11923uPwbBZFjjGgGUA6NLw09EwE0CqkOc4q9oUmW1yo/edit?usp=sharing"",""ตาก!L546"")"),0)</f>
        <v>0</v>
      </c>
      <c r="M651" s="521"/>
      <c r="N651" s="538">
        <f ca="1">IFERROR(__xludf.DUMMYFUNCTION("IMPORTRANGE(""https://docs.google.com/spreadsheets/d/11923uPwbBZFjjGgGUA6NLw09EwE0CqkOc4q9oUmW1yo/edit?usp=sharing"",""ตาก!M546"")"),0)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IFERROR(__xludf.DUMMYFUNCTION("IMPORTRANGE(""https://docs.google.com/spreadsheets/d/11923uPwbBZFjjGgGUA6NLw09EwE0CqkOc4q9oUmW1yo/edit?usp=sharing"",""ตาก!J547"")"),0)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IFERROR(__xludf.DUMMYFUNCTION("IMPORTRANGE(""https://docs.google.com/spreadsheets/d/11923uPwbBZFjjGgGUA6NLw09EwE0CqkOc4q9oUmW1yo/edit?usp=sharing"",""ตาก!J548"")"),0)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IFERROR(__xludf.DUMMYFUNCTION("IMPORTRANGE(""https://docs.google.com/spreadsheets/d/11923uPwbBZFjjGgGUA6NLw09EwE0CqkOc4q9oUmW1yo/edit?usp=sharing"",""ตาก!J550"")"),0)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IFERROR(__xludf.DUMMYFUNCTION("IMPORTRANGE(""https://docs.google.com/spreadsheets/d/11923uPwbBZFjjGgGUA6NLw09EwE0CqkOc4q9oUmW1yo/edit?usp=sharing"",""ตาก!J551"")"),0)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IFERROR(__xludf.DUMMYFUNCTION("IMPORTRANGE(""https://docs.google.com/spreadsheets/d/11923uPwbBZFjjGgGUA6NLw09EwE0CqkOc4q9oUmW1yo/edit?usp=sharing"",""ตาก!J552"")"),0)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IFERROR(__xludf.DUMMYFUNCTION("IMPORTRANGE(""https://docs.google.com/spreadsheets/d/11923uPwbBZFjjGgGUA6NLw09EwE0CqkOc4q9oUmW1yo/edit?usp=sharing"",""ตาก!J553"")"),0)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IFERROR(__xludf.DUMMYFUNCTION("IMPORTRANGE(""https://docs.google.com/spreadsheets/d/11923uPwbBZFjjGgGUA6NLw09EwE0CqkOc4q9oUmW1yo/edit?usp=sharing"",""ตาก!J554"")"),0)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IFERROR(__xludf.DUMMYFUNCTION("IMPORTRANGE(""https://docs.google.com/spreadsheets/d/11923uPwbBZFjjGgGUA6NLw09EwE0CqkOc4q9oUmW1yo/edit?usp=sharing"",""ตาก!J555"")"),0)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IFERROR(__xludf.DUMMYFUNCTION("IMPORTRANGE(""https://docs.google.com/spreadsheets/d/11923uPwbBZFjjGgGUA6NLw09EwE0CqkOc4q9oUmW1yo/edit?usp=sharing"",""ตาก!J556"")"),0)</f>
        <v>0</v>
      </c>
      <c r="K661" s="537"/>
      <c r="L661" s="522">
        <f ca="1">IFERROR(__xludf.DUMMYFUNCTION("IMPORTRANGE(""https://docs.google.com/spreadsheets/d/11923uPwbBZFjjGgGUA6NLw09EwE0CqkOc4q9oUmW1yo/edit?usp=sharing"",""ตาก!L556"")"),0)</f>
        <v>0</v>
      </c>
      <c r="M661" s="521"/>
      <c r="N661" s="538">
        <f ca="1">IFERROR(__xludf.DUMMYFUNCTION("IMPORTRANGE(""https://docs.google.com/spreadsheets/d/11923uPwbBZFjjGgGUA6NLw09EwE0CqkOc4q9oUmW1yo/edit?usp=sharing"",""ตาก!M556"")"),0)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IFERROR(__xludf.DUMMYFUNCTION("IMPORTRANGE(""https://docs.google.com/spreadsheets/d/11923uPwbBZFjjGgGUA6NLw09EwE0CqkOc4q9oUmW1yo/edit?usp=sharing"",""ตาก!J557"")"),0)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IFERROR(__xludf.DUMMYFUNCTION("IMPORTRANGE(""https://docs.google.com/spreadsheets/d/11923uPwbBZFjjGgGUA6NLw09EwE0CqkOc4q9oUmW1yo/edit?usp=sharing"",""ตาก!I558"")"),0)</f>
        <v>0</v>
      </c>
      <c r="J663" s="536">
        <f ca="1">IFERROR(__xludf.DUMMYFUNCTION("IMPORTRANGE(""https://docs.google.com/spreadsheets/d/11923uPwbBZFjjGgGUA6NLw09EwE0CqkOc4q9oUmW1yo/edit?usp=sharing"",""ตาก!J558"")"),0)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IFERROR(__xludf.DUMMYFUNCTION("IMPORTRANGE(""https://docs.google.com/spreadsheets/d/11923uPwbBZFjjGgGUA6NLw09EwE0CqkOc4q9oUmW1yo/edit?usp=sharing"",""ตาก!I560"")"),0)</f>
        <v>0</v>
      </c>
      <c r="J665" s="536">
        <f ca="1">IFERROR(__xludf.DUMMYFUNCTION("IMPORTRANGE(""https://docs.google.com/spreadsheets/d/11923uPwbBZFjjGgGUA6NLw09EwE0CqkOc4q9oUmW1yo/edit?usp=sharing"",""ตาก!J560"")"),0)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IFERROR(__xludf.DUMMYFUNCTION("IMPORTRANGE(""https://docs.google.com/spreadsheets/d/11923uPwbBZFjjGgGUA6NLw09EwE0CqkOc4q9oUmW1yo/edit?usp=sharing"",""ตาก!L560"")"),0)</f>
        <v>0</v>
      </c>
      <c r="M665" s="521"/>
      <c r="N665" s="538">
        <f ca="1">IFERROR(__xludf.DUMMYFUNCTION("IMPORTRANGE(""https://docs.google.com/spreadsheets/d/11923uPwbBZFjjGgGUA6NLw09EwE0CqkOc4q9oUmW1yo/edit?usp=sharing"",""ตาก!M560"")"),0)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IFERROR(__xludf.DUMMYFUNCTION("IMPORTRANGE(""https://docs.google.com/spreadsheets/d/11923uPwbBZFjjGgGUA6NLw09EwE0CqkOc4q9oUmW1yo/edit?usp=sharing"",""ตาก!J561"")"),0)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IFERROR(__xludf.DUMMYFUNCTION("IMPORTRANGE(""https://docs.google.com/spreadsheets/d/11923uPwbBZFjjGgGUA6NLw09EwE0CqkOc4q9oUmW1yo/edit?usp=sharing"",""ตาก!J562"")"),0)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IFERROR(__xludf.DUMMYFUNCTION("IMPORTRANGE(""https://docs.google.com/spreadsheets/d/11923uPwbBZFjjGgGUA6NLw09EwE0CqkOc4q9oUmW1yo/edit?usp=sharing"",""ตาก!I563"")"),0)</f>
        <v>0</v>
      </c>
      <c r="J668" s="536">
        <f ca="1">IFERROR(__xludf.DUMMYFUNCTION("IMPORTRANGE(""https://docs.google.com/spreadsheets/d/11923uPwbBZFjjGgGUA6NLw09EwE0CqkOc4q9oUmW1yo/edit?usp=sharing"",""ตาก!J563"")"),0)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IFERROR(__xludf.DUMMYFUNCTION("IMPORTRANGE(""https://docs.google.com/spreadsheets/d/11923uPwbBZFjjGgGUA6NLw09EwE0CqkOc4q9oUmW1yo/edit?usp=sharing"",""ตาก!L563"")"),0)</f>
        <v>0</v>
      </c>
      <c r="M668" s="521"/>
      <c r="N668" s="538">
        <f ca="1">IFERROR(__xludf.DUMMYFUNCTION("IMPORTRANGE(""https://docs.google.com/spreadsheets/d/11923uPwbBZFjjGgGUA6NLw09EwE0CqkOc4q9oUmW1yo/edit?usp=sharing"",""ตาก!M563"")"),0)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IFERROR(__xludf.DUMMYFUNCTION("IMPORTRANGE(""https://docs.google.com/spreadsheets/d/11923uPwbBZFjjGgGUA6NLw09EwE0CqkOc4q9oUmW1yo/edit?usp=sharing"",""ตาก!J564"")"),0)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IFERROR(__xludf.DUMMYFUNCTION("IMPORTRANGE(""https://docs.google.com/spreadsheets/d/11923uPwbBZFjjGgGUA6NLw09EwE0CqkOc4q9oUmW1yo/edit?usp=sharing"",""ตาก!J565"")"),0)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IFERROR(__xludf.DUMMYFUNCTION("IMPORTRANGE(""https://docs.google.com/spreadsheets/d/11923uPwbBZFjjGgGUA6NLw09EwE0CqkOc4q9oUmW1yo/edit?usp=sharing"",""ตาก!I566"")"),0)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IFERROR(__xludf.DUMMYFUNCTION("IMPORTRANGE(""https://docs.google.com/spreadsheets/d/11923uPwbBZFjjGgGUA6NLw09EwE0CqkOc4q9oUmW1yo/edit?usp=sharing"",""ตาก!L566"")"),0)</f>
        <v>0</v>
      </c>
      <c r="M671" s="521"/>
      <c r="N671" s="538">
        <f ca="1">IFERROR(__xludf.DUMMYFUNCTION("IMPORTRANGE(""https://docs.google.com/spreadsheets/d/11923uPwbBZFjjGgGUA6NLw09EwE0CqkOc4q9oUmW1yo/edit?usp=sharing"",""ตาก!M566"")"),0)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IFERROR(__xludf.DUMMYFUNCTION("IMPORTRANGE(""https://docs.google.com/spreadsheets/d/11923uPwbBZFjjGgGUA6NLw09EwE0CqkOc4q9oUmW1yo/edit?usp=sharing"",""ตาก!J567"")"),0)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IFERROR(__xludf.DUMMYFUNCTION("IMPORTRANGE(""https://docs.google.com/spreadsheets/d/11923uPwbBZFjjGgGUA6NLw09EwE0CqkOc4q9oUmW1yo/edit?usp=sharing"",""ตาก!J568"")"),0)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IFERROR(__xludf.DUMMYFUNCTION("IMPORTRANGE(""https://docs.google.com/spreadsheets/d/11923uPwbBZFjjGgGUA6NLw09EwE0CqkOc4q9oUmW1yo/edit?usp=sharing"",""ตาก!J569"")"),0)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IFERROR(__xludf.DUMMYFUNCTION("IMPORTRANGE(""https://docs.google.com/spreadsheets/d/11923uPwbBZFjjGgGUA6NLw09EwE0CqkOc4q9oUmW1yo/edit?usp=sharing"",""ตาก!J570"")"),0)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IFERROR(__xludf.DUMMYFUNCTION("IMPORTRANGE(""https://docs.google.com/spreadsheets/d/11923uPwbBZFjjGgGUA6NLw09EwE0CqkOc4q9oUmW1yo/edit?usp=sharing"",""ตาก!J571"")"),0)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IFERROR(__xludf.DUMMYFUNCTION("IMPORTRANGE(""https://docs.google.com/spreadsheets/d/11923uPwbBZFjjGgGUA6NLw09EwE0CqkOc4q9oUmW1yo/edit?usp=sharing"",""ตาก!J572"")"),0)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268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6642518</v>
      </c>
      <c r="M8" s="23">
        <f t="shared" ca="1" si="0"/>
        <v>4407003</v>
      </c>
      <c r="N8" s="23">
        <f t="shared" ca="1" si="0"/>
        <v>4640974.6900000004</v>
      </c>
      <c r="O8" s="22">
        <f t="shared" ref="O8:O16" ca="1" si="1">IF(L8&gt;0,N8*100/L8,0)</f>
        <v>69.867702127416152</v>
      </c>
      <c r="P8" s="22">
        <f t="shared" ref="P8:P16" ca="1" si="2">IF(M8&gt;0,N8*100/M8,0)</f>
        <v>105.30908851207954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6642518</v>
      </c>
      <c r="M10" s="30">
        <f t="shared" ca="1" si="4"/>
        <v>4407003</v>
      </c>
      <c r="N10" s="30">
        <f t="shared" ca="1" si="4"/>
        <v>4640974.6900000004</v>
      </c>
      <c r="O10" s="29">
        <f t="shared" ca="1" si="1"/>
        <v>69.867702127416152</v>
      </c>
      <c r="P10" s="29">
        <f t="shared" ca="1" si="2"/>
        <v>105.30908851207954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6305068</v>
      </c>
      <c r="M12" s="39">
        <f t="shared" ca="1" si="6"/>
        <v>4167603</v>
      </c>
      <c r="N12" s="39">
        <f t="shared" ca="1" si="6"/>
        <v>4443574.6900000004</v>
      </c>
      <c r="O12" s="39">
        <f t="shared" ca="1" si="1"/>
        <v>70.476237369684213</v>
      </c>
      <c r="P12" s="39">
        <f t="shared" ca="1" si="2"/>
        <v>106.62183250180021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2242900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4062168</v>
      </c>
      <c r="M14" s="39">
        <f t="shared" si="8"/>
        <v>0</v>
      </c>
      <c r="N14" s="39">
        <f t="shared" ca="1" si="8"/>
        <v>1118949.83</v>
      </c>
      <c r="O14" s="39">
        <f t="shared" ca="1" si="1"/>
        <v>27.545631544534839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337450</v>
      </c>
      <c r="M16" s="39">
        <f t="shared" ca="1" si="10"/>
        <v>239400</v>
      </c>
      <c r="N16" s="39">
        <f t="shared" ca="1" si="10"/>
        <v>197400</v>
      </c>
      <c r="O16" s="50">
        <f t="shared" ca="1" si="1"/>
        <v>58.497555193361983</v>
      </c>
      <c r="P16" s="50">
        <f t="shared" ca="1" si="2"/>
        <v>82.456140350877192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4340405</v>
      </c>
      <c r="M18" s="23">
        <f t="shared" ca="1" si="11"/>
        <v>4407003</v>
      </c>
      <c r="N18" s="23">
        <f t="shared" ca="1" si="11"/>
        <v>3522024.8600000003</v>
      </c>
      <c r="O18" s="22">
        <f t="shared" ref="O18:O20" ca="1" si="12">IF(L18&gt;0,N18*100/L18,0)</f>
        <v>81.145074249983594</v>
      </c>
      <c r="P18" s="22">
        <f t="shared" ref="P18:P26" ca="1" si="13">IF(M18&gt;0,N18*100/M18,0)</f>
        <v>79.918821475728535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4340405</v>
      </c>
      <c r="M20" s="30">
        <f t="shared" ca="1" si="15"/>
        <v>4407003</v>
      </c>
      <c r="N20" s="30">
        <f t="shared" ca="1" si="15"/>
        <v>3522024.8600000003</v>
      </c>
      <c r="O20" s="29">
        <f t="shared" ca="1" si="12"/>
        <v>81.145074249983594</v>
      </c>
      <c r="P20" s="29">
        <f t="shared" ca="1" si="13"/>
        <v>79.918821475728535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4002955</v>
      </c>
      <c r="M22" s="42">
        <f t="shared" ca="1" si="18"/>
        <v>4167603</v>
      </c>
      <c r="N22" s="39">
        <f t="shared" ca="1" si="18"/>
        <v>3324624.8600000003</v>
      </c>
      <c r="O22" s="39">
        <f t="shared" ca="1" si="17"/>
        <v>83.05426516161188</v>
      </c>
      <c r="P22" s="39">
        <f t="shared" ca="1" si="13"/>
        <v>79.773070035701593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2242900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1760055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337450</v>
      </c>
      <c r="M26" s="50">
        <f t="shared" ca="1" si="22"/>
        <v>239400</v>
      </c>
      <c r="N26" s="50">
        <f t="shared" ca="1" si="22"/>
        <v>197400</v>
      </c>
      <c r="O26" s="50">
        <f t="shared" ca="1" si="17"/>
        <v>58.497555193361983</v>
      </c>
      <c r="P26" s="50">
        <f t="shared" ca="1" si="13"/>
        <v>82.456140350877192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2302113</v>
      </c>
      <c r="M28" s="23">
        <f t="shared" si="23"/>
        <v>0</v>
      </c>
      <c r="N28" s="23">
        <f t="shared" ca="1" si="23"/>
        <v>1118949.83</v>
      </c>
      <c r="O28" s="22">
        <f t="shared" ref="O28:O30" ca="1" si="24">IF(L28&gt;0,N28*100/L28,0)</f>
        <v>48.605339094996637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2302113</v>
      </c>
      <c r="M30" s="30">
        <f t="shared" si="27"/>
        <v>0</v>
      </c>
      <c r="N30" s="30">
        <f t="shared" ca="1" si="27"/>
        <v>1118949.83</v>
      </c>
      <c r="O30" s="29">
        <f t="shared" ca="1" si="24"/>
        <v>48.605339094996637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2302113</v>
      </c>
      <c r="M32" s="39">
        <f t="shared" si="30"/>
        <v>0</v>
      </c>
      <c r="N32" s="39">
        <f t="shared" ca="1" si="30"/>
        <v>1118949.83</v>
      </c>
      <c r="O32" s="39">
        <f t="shared" ca="1" si="29"/>
        <v>48.605339094996637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2302113</v>
      </c>
      <c r="M34" s="39">
        <f t="shared" si="32"/>
        <v>0</v>
      </c>
      <c r="N34" s="39">
        <f t="shared" ca="1" si="32"/>
        <v>1118949.83</v>
      </c>
      <c r="O34" s="39">
        <f t="shared" ca="1" si="29"/>
        <v>48.605339094996637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4340405</v>
      </c>
      <c r="M37" s="55">
        <f t="shared" ca="1" si="33"/>
        <v>4407003</v>
      </c>
      <c r="N37" s="55">
        <f t="shared" ca="1" si="33"/>
        <v>3522024.8600000003</v>
      </c>
      <c r="O37" s="56">
        <f t="shared" ca="1" si="29"/>
        <v>81.145074249983594</v>
      </c>
      <c r="P37" s="56">
        <f t="shared" ca="1" si="25"/>
        <v>79.918821475728535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1008280</v>
      </c>
      <c r="N41" s="79">
        <f t="shared" ca="1" si="34"/>
        <v>831247.89</v>
      </c>
      <c r="O41" s="78">
        <f t="shared" ref="O41:O43" ca="1" si="35">IF(L41&gt;0,N41*100/L41,0)</f>
        <v>87.297614996849404</v>
      </c>
      <c r="P41" s="78">
        <f t="shared" ref="P41:P43" ca="1" si="36">IF(M41&gt;0,N41*100/M41,0)</f>
        <v>82.442167850200335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1008280</v>
      </c>
      <c r="N43" s="79">
        <f t="shared" ca="1" si="38"/>
        <v>831247.89</v>
      </c>
      <c r="O43" s="78">
        <f t="shared" ca="1" si="35"/>
        <v>87.297614996849404</v>
      </c>
      <c r="P43" s="78">
        <f t="shared" ca="1" si="36"/>
        <v>82.442167850200335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952200</v>
      </c>
      <c r="M45" s="50">
        <f ca="1">IFERROR(__xludf.DUMMYFUNCTION("IMPORTRANGE(""https://docs.google.com/spreadsheets/d/1Yj_ptqi66GCucihVvJfMjLAmec39IyEx_6qawtMGysU/edit?usp=sharing"",""สบก!Q24"")"),1008280)</f>
        <v>1008280</v>
      </c>
      <c r="N45" s="50">
        <f ca="1">IFERROR(__xludf.DUMMYFUNCTION("IMPORTRANGE(""https://docs.google.com/spreadsheets/d/1Yj_ptqi66GCucihVvJfMjLAmec39IyEx_6qawtMGysU/edit?usp=sharing"",""สบก!R24"")"),831247.89)</f>
        <v>831247.89</v>
      </c>
      <c r="O45" s="39">
        <f ca="1">IF(L45&gt;0,N45*100/L45,0)</f>
        <v>87.297614996849404</v>
      </c>
      <c r="P45" s="39">
        <f ca="1">IF(M45&gt;0,N45*100/M45,0)</f>
        <v>82.442167850200335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IFERROR(__xludf.DUMMYFUNCTION("IMPORTRANGE(""https://docs.google.com/spreadsheets/d/1Yj_ptqi66GCucihVvJfMjLAmec39IyEx_6qawtMGysU/edit?usp=sharing"",""สบก!M24"")"),952200)</f>
        <v>952200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IFERROR(__xludf.DUMMYFUNCTION("IMPORTRANGE(""https://docs.google.com/spreadsheets/d/1Yj_ptqi66GCucihVvJfMjLAmec39IyEx_6qawtMGysU/edit?usp=sharing"",""สบก!O24"")"),0)</f>
        <v>0</v>
      </c>
      <c r="M49" s="50"/>
      <c r="N49" s="50">
        <f ca="1">IFERROR(__xludf.DUMMYFUNCTION("IMPORTRANGE(""https://docs.google.com/spreadsheets/d/1Yj_ptqi66GCucihVvJfMjLAmec39IyEx_6qawtMGysU/edit?usp=sharing"",""สบก!S24"")"),0)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478448</v>
      </c>
      <c r="N53" s="121">
        <f t="shared" ca="1" si="39"/>
        <v>468397</v>
      </c>
      <c r="O53" s="120">
        <f t="shared" ref="O53:O55" ca="1" si="40">IF(L53&gt;0,N53*100/L53,0)</f>
        <v>104.08822222222223</v>
      </c>
      <c r="P53" s="120">
        <f t="shared" ref="P53:P55" ca="1" si="41">IF(M53&gt;0,N53*100/M53,0)</f>
        <v>97.899249239206767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478448</v>
      </c>
      <c r="N55" s="121">
        <f t="shared" ca="1" si="43"/>
        <v>468397</v>
      </c>
      <c r="O55" s="120">
        <f t="shared" ca="1" si="40"/>
        <v>104.08822222222223</v>
      </c>
      <c r="P55" s="120">
        <f t="shared" ca="1" si="41"/>
        <v>97.899249239206767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450000</v>
      </c>
      <c r="M57" s="50">
        <f ca="1">IFERROR(__xludf.DUMMYFUNCTION("IMPORTRANGE(""https://docs.google.com/spreadsheets/d/1Yj_ptqi66GCucihVvJfMjLAmec39IyEx_6qawtMGysU/edit?usp=sharing"",""สบก!Z24"")"),478448)</f>
        <v>478448</v>
      </c>
      <c r="N57" s="50">
        <f ca="1">IFERROR(__xludf.DUMMYFUNCTION("IMPORTRANGE(""https://docs.google.com/spreadsheets/d/1Yj_ptqi66GCucihVvJfMjLAmec39IyEx_6qawtMGysU/edit?usp=sharing"",""สบก!AA24"")"),468397)</f>
        <v>468397</v>
      </c>
      <c r="O57" s="39">
        <f ca="1">IF(L57&gt;0,N57*100/L57,0)</f>
        <v>104.08822222222223</v>
      </c>
      <c r="P57" s="39">
        <f ca="1">IF(M57&gt;0,N57*100/M57,0)</f>
        <v>97.899249239206767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IFERROR(__xludf.DUMMYFUNCTION("IMPORTRANGE(""https://docs.google.com/spreadsheets/d/1Yj_ptqi66GCucihVvJfMjLAmec39IyEx_6qawtMGysU/edit?usp=sharing"",""สบก!V24"")"),450000)</f>
        <v>450000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843550</v>
      </c>
      <c r="M66" s="152">
        <f t="shared" ca="1" si="45"/>
        <v>778520</v>
      </c>
      <c r="N66" s="152">
        <f t="shared" ca="1" si="45"/>
        <v>664601.18999999994</v>
      </c>
      <c r="O66" s="151">
        <f t="shared" ref="O66:O68" ca="1" si="46">IF(L66&gt;0,N66*100/L66,0)</f>
        <v>78.786223697469026</v>
      </c>
      <c r="P66" s="151">
        <f t="shared" ref="P66:P68" ca="1" si="47">IF(M66&gt;0,N66*100/M66,0)</f>
        <v>85.367259672198514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843550</v>
      </c>
      <c r="M68" s="88">
        <f t="shared" ca="1" si="49"/>
        <v>778520</v>
      </c>
      <c r="N68" s="88">
        <f t="shared" ca="1" si="49"/>
        <v>664601.18999999994</v>
      </c>
      <c r="O68" s="156">
        <f t="shared" ca="1" si="46"/>
        <v>78.786223697469026</v>
      </c>
      <c r="P68" s="156">
        <f t="shared" ca="1" si="47"/>
        <v>85.367259672198514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IFERROR(__xludf.DUMMYFUNCTION("IMPORTRANGE(""https://docs.google.com/spreadsheets/d/1Yj_ptqi66GCucihVvJfMjLAmec39IyEx_6qawtMGysU/edit?usp=sharing"",""สบก!AI24"")"),778520)</f>
        <v>778520</v>
      </c>
      <c r="N70" s="168">
        <f ca="1">IFERROR(__xludf.DUMMYFUNCTION("IMPORTRANGE(""https://docs.google.com/spreadsheets/d/1Yj_ptqi66GCucihVvJfMjLAmec39IyEx_6qawtMGysU/edit?usp=sharing"",""สบก!AJ24"")"),664601.19)</f>
        <v>664601.18999999994</v>
      </c>
      <c r="O70" s="168">
        <f ca="1">IF(L70&gt;0,N70*100/L70,0)</f>
        <v>89.148382293762566</v>
      </c>
      <c r="P70" s="168">
        <f ca="1">IF(M70&gt;0,N70*100/M70,0)</f>
        <v>85.367259672198514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IFERROR(__xludf.DUMMYFUNCTION("IMPORTRANGE(""https://docs.google.com/spreadsheets/d/1Yj_ptqi66GCucihVvJfMjLAmec39IyEx_6qawtMGysU/edit?usp=sharing"",""สบก!AG24"")"),98050)</f>
        <v>98050</v>
      </c>
      <c r="M74" s="50"/>
      <c r="N74" s="50">
        <f ca="1">IFERROR(__xludf.DUMMYFUNCTION("IMPORTRANGE(""https://docs.google.com/spreadsheets/d/1Yj_ptqi66GCucihVvJfMjLAmec39IyEx_6qawtMGysU/edit?usp=sharing"",""สบก!AK24"")"),0)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192320</v>
      </c>
      <c r="O94" s="151">
        <f t="shared" ref="O94:O96" ca="1" si="53">IF(L94&gt;0,N94*100/L94,0)</f>
        <v>89.659673659673658</v>
      </c>
      <c r="P94" s="151">
        <f t="shared" ref="P94:P96" ca="1" si="54">IF(M94&gt;0,N94*100/M94,0)</f>
        <v>89.659673659673658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192320</v>
      </c>
      <c r="O96" s="156">
        <f t="shared" ca="1" si="53"/>
        <v>89.659673659673658</v>
      </c>
      <c r="P96" s="156">
        <f t="shared" ca="1" si="54"/>
        <v>89.659673659673658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IFERROR(__xludf.DUMMYFUNCTION("IMPORTRANGE(""https://docs.google.com/spreadsheets/d/1Yj_ptqi66GCucihVvJfMjLAmec39IyEx_6qawtMGysU/edit?usp=sharing"",""สบก!AS24"")"),99920)</f>
        <v>99920</v>
      </c>
      <c r="O98" s="168">
        <f ca="1">IF(L98&gt;0,N98*100/L98,0)</f>
        <v>81.834561834561839</v>
      </c>
      <c r="P98" s="168">
        <f ca="1">IF(M98&gt;0,N98*100/M98,0)</f>
        <v>81.834561834561839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85080</v>
      </c>
      <c r="M118" s="152">
        <f t="shared" ca="1" si="58"/>
        <v>85080</v>
      </c>
      <c r="N118" s="152">
        <f t="shared" ca="1" si="58"/>
        <v>56320</v>
      </c>
      <c r="O118" s="151">
        <f t="shared" ref="O118:O120" ca="1" si="59">IF(L118&gt;0,N118*100/L118,0)</f>
        <v>66.196520921485657</v>
      </c>
      <c r="P118" s="151">
        <f t="shared" ref="P118:P120" ca="1" si="60">IF(M118&gt;0,N118*100/M118,0)</f>
        <v>66.196520921485657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85080</v>
      </c>
      <c r="M120" s="88">
        <f t="shared" ca="1" si="62"/>
        <v>85080</v>
      </c>
      <c r="N120" s="88">
        <f t="shared" ca="1" si="62"/>
        <v>56320</v>
      </c>
      <c r="O120" s="156">
        <f t="shared" ca="1" si="59"/>
        <v>66.196520921485657</v>
      </c>
      <c r="P120" s="156">
        <f t="shared" ca="1" si="60"/>
        <v>66.196520921485657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85080</v>
      </c>
      <c r="M122" s="167">
        <f ca="1">IFERROR(__xludf.DUMMYFUNCTION("IMPORTRANGE(""https://docs.google.com/spreadsheets/d/1Yj_ptqi66GCucihVvJfMjLAmec39IyEx_6qawtMGysU/edit?usp=sharing"",""สบก!BA24"")"),85080)</f>
        <v>85080</v>
      </c>
      <c r="N122" s="168">
        <f ca="1">IFERROR(__xludf.DUMMYFUNCTION("IMPORTRANGE(""https://docs.google.com/spreadsheets/d/1Yj_ptqi66GCucihVvJfMjLAmec39IyEx_6qawtMGysU/edit?usp=sharing"",""สบก!BB24"")"),56320)</f>
        <v>56320</v>
      </c>
      <c r="O122" s="168">
        <f ca="1">IF(L122&gt;0,N122*100/L122,0)</f>
        <v>66.196520921485657</v>
      </c>
      <c r="P122" s="168">
        <f ca="1">IF(M122&gt;0,N122*100/M122,0)</f>
        <v>66.196520921485657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IFERROR(__xludf.DUMMYFUNCTION("IMPORTRANGE(""https://docs.google.com/spreadsheets/d/1Yj_ptqi66GCucihVvJfMjLAmec39IyEx_6qawtMGysU/edit?usp=sharing"",""สบก!AX24"")"),85080)</f>
        <v>85080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211100</v>
      </c>
      <c r="M140" s="152">
        <f t="shared" ca="1" si="64"/>
        <v>219100</v>
      </c>
      <c r="N140" s="152">
        <f t="shared" ca="1" si="64"/>
        <v>202223.12</v>
      </c>
      <c r="O140" s="151">
        <f t="shared" ref="O140:O142" ca="1" si="65">IF(L140&gt;0,N140*100/L140,0)</f>
        <v>95.794940786357174</v>
      </c>
      <c r="P140" s="151">
        <f t="shared" ref="P140:P142" ca="1" si="66">IF(M140&gt;0,N140*100/M140,0)</f>
        <v>92.297179370150616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211100</v>
      </c>
      <c r="M142" s="88">
        <f t="shared" ca="1" si="68"/>
        <v>219100</v>
      </c>
      <c r="N142" s="88">
        <f t="shared" ca="1" si="68"/>
        <v>202223.12</v>
      </c>
      <c r="O142" s="156">
        <f t="shared" ca="1" si="65"/>
        <v>95.794940786357174</v>
      </c>
      <c r="P142" s="156">
        <f t="shared" ca="1" si="66"/>
        <v>92.297179370150616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211100</v>
      </c>
      <c r="M144" s="167">
        <f ca="1">IFERROR(__xludf.DUMMYFUNCTION("IMPORTRANGE(""https://docs.google.com/spreadsheets/d/1Yj_ptqi66GCucihVvJfMjLAmec39IyEx_6qawtMGysU/edit?usp=sharing"",""สบก!BJ24"")"),219100)</f>
        <v>219100</v>
      </c>
      <c r="N144" s="168">
        <f ca="1">IFERROR(__xludf.DUMMYFUNCTION("IMPORTRANGE(""https://docs.google.com/spreadsheets/d/1Yj_ptqi66GCucihVvJfMjLAmec39IyEx_6qawtMGysU/edit?usp=sharing"",""สบก!BK24"")"),202223.12)</f>
        <v>202223.12</v>
      </c>
      <c r="O144" s="168">
        <f ca="1">IF(L144&gt;0,N144*100/L144,0)</f>
        <v>95.794940786357174</v>
      </c>
      <c r="P144" s="168">
        <f ca="1">IF(M144&gt;0,N144*100/M144,0)</f>
        <v>92.297179370150616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IFERROR(__xludf.DUMMYFUNCTION("IMPORTRANGE(""https://docs.google.com/spreadsheets/d/1Yj_ptqi66GCucihVvJfMjLAmec39IyEx_6qawtMGysU/edit?usp=sharing"",""สบก!BG24"")"),211100)</f>
        <v>211100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IFERROR(__xludf.DUMMYFUNCTION("IMPORTRANGE(""https://docs.google.com/spreadsheets/d/11923uPwbBZFjjGgGUA6NLw09EwE0CqkOc4q9oUmW1yo/edit?usp=sharing"",""นครสวรรค์!J114"")"),270000)</f>
        <v>270000</v>
      </c>
      <c r="K189" s="285">
        <f ca="1">IF(I189&gt;0,J189*100/I189,0)</f>
        <v>90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IFERROR(__xludf.DUMMYFUNCTION("IMPORTRANGE(""https://docs.google.com/spreadsheets/d/11923uPwbBZFjjGgGUA6NLw09EwE0CqkOc4q9oUmW1yo/edit?usp=sharing"",""นครสวรรค์!J125"")"),270000)</f>
        <v>270000</v>
      </c>
      <c r="K200" s="163">
        <f t="shared" ca="1" si="70"/>
        <v>90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76914</v>
      </c>
      <c r="O250" s="151">
        <f t="shared" ref="O250:O252" ca="1" si="78">IF(L250&gt;0,N250*100/L250,0)</f>
        <v>86.420224719101128</v>
      </c>
      <c r="P250" s="151">
        <f t="shared" ref="P250:P252" ca="1" si="79">IF(M250&gt;0,N250*100/M250,0)</f>
        <v>86.420224719101128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89000</v>
      </c>
      <c r="N252" s="88">
        <f t="shared" ca="1" si="81"/>
        <v>76914</v>
      </c>
      <c r="O252" s="156">
        <f t="shared" ca="1" si="78"/>
        <v>86.420224719101128</v>
      </c>
      <c r="P252" s="156">
        <f t="shared" ca="1" si="79"/>
        <v>86.420224719101128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IFERROR(__xludf.DUMMYFUNCTION("IMPORTRANGE(""https://docs.google.com/spreadsheets/d/1Yj_ptqi66GCucihVvJfMjLAmec39IyEx_6qawtMGysU/edit?usp=sharing"",""สบก!CB24"")"),89000)</f>
        <v>89000</v>
      </c>
      <c r="N254" s="168">
        <f ca="1">IFERROR(__xludf.DUMMYFUNCTION("IMPORTRANGE(""https://docs.google.com/spreadsheets/d/1Yj_ptqi66GCucihVvJfMjLAmec39IyEx_6qawtMGysU/edit?usp=sharing"",""สบก!CC24"")"),76914)</f>
        <v>76914</v>
      </c>
      <c r="O254" s="168">
        <f ca="1">IF(L254&gt;0,N254*100/L254,0)</f>
        <v>86.420224719101128</v>
      </c>
      <c r="P254" s="168">
        <f ca="1">IF(M254&gt;0,N254*100/M254,0)</f>
        <v>86.420224719101128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121559.86</v>
      </c>
      <c r="O271" s="151">
        <f t="shared" ref="O271:O273" ca="1" si="84">IF(L271&gt;0,N271*100/L271,0)</f>
        <v>66.209074074074067</v>
      </c>
      <c r="P271" s="151">
        <f t="shared" ref="P271:P273" ca="1" si="85">IF(M271&gt;0,N271*100/M271,0)</f>
        <v>66.209074074074067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121559.86</v>
      </c>
      <c r="O273" s="156">
        <f t="shared" ca="1" si="84"/>
        <v>66.209074074074067</v>
      </c>
      <c r="P273" s="156">
        <f t="shared" ca="1" si="85"/>
        <v>66.209074074074067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IFERROR(__xludf.DUMMYFUNCTION("IMPORTRANGE(""https://docs.google.com/spreadsheets/d/1Yj_ptqi66GCucihVvJfMjLAmec39IyEx_6qawtMGysU/edit?usp=sharing"",""สบก!CK24"")"),183600)</f>
        <v>183600</v>
      </c>
      <c r="N275" s="168">
        <f ca="1">IFERROR(__xludf.DUMMYFUNCTION("IMPORTRANGE(""https://docs.google.com/spreadsheets/d/1Yj_ptqi66GCucihVvJfMjLAmec39IyEx_6qawtMGysU/edit?usp=sharing"",""สบก!CL24"")"),121559.86)</f>
        <v>121559.86</v>
      </c>
      <c r="O275" s="168">
        <f ca="1">IF(L275&gt;0,N275*100/L275,0)</f>
        <v>66.209074074074067</v>
      </c>
      <c r="P275" s="168">
        <f ca="1">IF(M275&gt;0,N275*100/M275,0)</f>
        <v>66.209074074074067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IFERROR(__xludf.DUMMYFUNCTION("IMPORTRANGE(""https://docs.google.com/spreadsheets/d/11923uPwbBZFjjGgGUA6NLw09EwE0CqkOc4q9oUmW1yo/edit?usp=sharing"",""นครสวรรค์!J228"")"),70)</f>
        <v>70</v>
      </c>
      <c r="K328" s="317">
        <f ca="1">IF(I328&gt;0,J328*100/I328,0)</f>
        <v>15.452538631346579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1290250</v>
      </c>
      <c r="M329" s="152">
        <f t="shared" ca="1" si="98"/>
        <v>1329350</v>
      </c>
      <c r="N329" s="152">
        <f t="shared" ca="1" si="98"/>
        <v>887316.8</v>
      </c>
      <c r="O329" s="151">
        <f t="shared" ref="O329:O331" ca="1" si="99">IF(L329&gt;0,N329*100/L329,0)</f>
        <v>68.770920364270495</v>
      </c>
      <c r="P329" s="151">
        <f t="shared" ref="P329:P331" ca="1" si="100">IF(M329&gt;0,N329*100/M329,0)</f>
        <v>66.74817015834806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1290250</v>
      </c>
      <c r="M331" s="88">
        <f t="shared" ca="1" si="102"/>
        <v>1329350</v>
      </c>
      <c r="N331" s="88">
        <f t="shared" ca="1" si="102"/>
        <v>887316.8</v>
      </c>
      <c r="O331" s="156">
        <f t="shared" ca="1" si="99"/>
        <v>68.770920364270495</v>
      </c>
      <c r="P331" s="156">
        <f t="shared" ca="1" si="100"/>
        <v>66.74817015834806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1143250</v>
      </c>
      <c r="M333" s="167">
        <f ca="1">IFERROR(__xludf.DUMMYFUNCTION("IMPORTRANGE(""https://docs.google.com/spreadsheets/d/1Yj_ptqi66GCucihVvJfMjLAmec39IyEx_6qawtMGysU/edit?usp=sharing"",""สบก!DL24"")"),1182350)</f>
        <v>1182350</v>
      </c>
      <c r="N333" s="168">
        <f ca="1">IFERROR(__xludf.DUMMYFUNCTION("IMPORTRANGE(""https://docs.google.com/spreadsheets/d/1Yj_ptqi66GCucihVvJfMjLAmec39IyEx_6qawtMGysU/edit?usp=sharing"",""สบก!DM24"")"),782316.8)</f>
        <v>782316.8</v>
      </c>
      <c r="O333" s="168">
        <f ca="1">IF(L333&gt;0,N333*100/L333,0)</f>
        <v>68.429197463371963</v>
      </c>
      <c r="P333" s="168">
        <f ca="1">IF(M333&gt;0,N333*100/M333,0)</f>
        <v>66.166262105129618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IFERROR(__xludf.DUMMYFUNCTION("IMPORTRANGE(""https://docs.google.com/spreadsheets/d/1Yj_ptqi66GCucihVvJfMjLAmec39IyEx_6qawtMGysU/edit?usp=sharing"",""สบก!DI24"")"),614050)</f>
        <v>614050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71.428571428571431</v>
      </c>
      <c r="P337" s="50">
        <f ca="1">IF(M337&gt;0,N337*100/M337,0)</f>
        <v>71.428571428571431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IFERROR(__xludf.DUMMYFUNCTION("IMPORTRANGE(""https://docs.google.com/spreadsheets/d/11923uPwbBZFjjGgGUA6NLw09EwE0CqkOc4q9oUmW1yo/edit?usp=sharing"",""นครสวรรค์!J234"")"),595)</f>
        <v>595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IFERROR(__xludf.DUMMYFUNCTION("IMPORTRANGE(""https://docs.google.com/spreadsheets/d/11923uPwbBZFjjGgGUA6NLw09EwE0CqkOc4q9oUmW1yo/edit?usp=sharing"",""นครสวรรค์!J235"")"),4251.77)</f>
        <v>4251.7700000000004</v>
      </c>
      <c r="K340" s="342">
        <f t="shared" ca="1" si="103"/>
        <v>94.483777777777789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IFERROR(__xludf.DUMMYFUNCTION("IMPORTRANGE(""https://docs.google.com/spreadsheets/d/11923uPwbBZFjjGgGUA6NLw09EwE0CqkOc4q9oUmW1yo/edit?usp=sharing"",""นครสวรรค์!J236"")"),314)</f>
        <v>314</v>
      </c>
      <c r="K341" s="342">
        <f t="shared" ca="1" si="103"/>
        <v>69.315673289183223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IFERROR(__xludf.DUMMYFUNCTION("IMPORTRANGE(""https://docs.google.com/spreadsheets/d/11923uPwbBZFjjGgGUA6NLw09EwE0CqkOc4q9oUmW1yo/edit?usp=sharing"",""นครสวรรค์!J237"")"),2368.05)</f>
        <v>2368.0500000000002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IFERROR(__xludf.DUMMYFUNCTION("IMPORTRANGE(""https://docs.google.com/spreadsheets/d/11923uPwbBZFjjGgGUA6NLw09EwE0CqkOc4q9oUmW1yo/edit?usp=sharing"",""นครสวรรค์!J240"")"),70)</f>
        <v>70</v>
      </c>
      <c r="K345" s="342">
        <f t="shared" ca="1" si="103"/>
        <v>15.452538631346579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IFERROR(__xludf.DUMMYFUNCTION("IMPORTRANGE(""https://docs.google.com/spreadsheets/d/11923uPwbBZFjjGgGUA6NLw09EwE0CqkOc4q9oUmW1yo/edit?usp=sharing"",""นครสวรรค์!J241"")"),1038.13)</f>
        <v>1038.1300000000001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IFERROR(__xludf.DUMMYFUNCTION("IMPORTRANGE(""https://docs.google.com/spreadsheets/d/11923uPwbBZFjjGgGUA6NLw09EwE0CqkOc4q9oUmW1yo/edit?usp=sharing"",""นครสวรรค์!L242"")"),2302113)</f>
        <v>2302113</v>
      </c>
      <c r="M347" s="357"/>
      <c r="N347" s="357">
        <f ca="1">IFERROR(__xludf.DUMMYFUNCTION("IMPORTRANGE(""https://docs.google.com/spreadsheets/d/11923uPwbBZFjjGgGUA6NLw09EwE0CqkOc4q9oUmW1yo/edit?usp=sharing"",""นครสวรรค์!M242"")"),1118949.83)</f>
        <v>1118949.83</v>
      </c>
      <c r="O347" s="357">
        <f ca="1">+IF(L347&gt;0,N347*100/L347,0)</f>
        <v>48.605339094996637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IFERROR(__xludf.DUMMYFUNCTION("IMPORTRANGE(""https://docs.google.com/spreadsheets/d/11923uPwbBZFjjGgGUA6NLw09EwE0CqkOc4q9oUmW1yo/edit?usp=sharing"",""นครสวรรค์!L244"")"),354030)</f>
        <v>354030</v>
      </c>
      <c r="M349" s="372"/>
      <c r="N349" s="372">
        <f ca="1">IFERROR(__xludf.DUMMYFUNCTION("IMPORTRANGE(""https://docs.google.com/spreadsheets/d/11923uPwbBZFjjGgGUA6NLw09EwE0CqkOc4q9oUmW1yo/edit?usp=sharing"",""นครสวรรค์!M244"")"),239565)</f>
        <v>239565</v>
      </c>
      <c r="O349" s="372">
        <f ca="1">+IF(L349&gt;0,N349*100/L349,0)</f>
        <v>67.667994237776455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IFERROR(__xludf.DUMMYFUNCTION("IMPORTRANGE(""https://docs.google.com/spreadsheets/d/11923uPwbBZFjjGgGUA6NLw09EwE0CqkOc4q9oUmW1yo/edit?usp=sharing"",""นครสวรรค์!M247"")"),239565)</f>
        <v>239565</v>
      </c>
      <c r="O352" s="165">
        <f t="shared" ca="1" si="105"/>
        <v>67.667994237776455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IFERROR(__xludf.DUMMYFUNCTION("IMPORTRANGE(""https://docs.google.com/spreadsheets/d/11923uPwbBZFjjGgGUA6NLw09EwE0CqkOc4q9oUmW1yo/edit?usp=sharing"",""นครสวรรค์!M249"")"),239565)</f>
        <v>239565</v>
      </c>
      <c r="O354" s="168">
        <f t="shared" ca="1" si="105"/>
        <v>67.667994237776455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IFERROR(__xludf.DUMMYFUNCTION("IMPORTRANGE(""https://docs.google.com/spreadsheets/d/11923uPwbBZFjjGgGUA6NLw09EwE0CqkOc4q9oUmW1yo/edit?usp=sharing"",""นครสวรรค์!M251"")"),99000)</f>
        <v>99000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IFERROR(__xludf.DUMMYFUNCTION("IMPORTRANGE(""https://docs.google.com/spreadsheets/d/11923uPwbBZFjjGgGUA6NLw09EwE0CqkOc4q9oUmW1yo/edit?usp=sharing"",""นครสวรรค์!M252"")"),58660)</f>
        <v>58660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IFERROR(__xludf.DUMMYFUNCTION("IMPORTRANGE(""https://docs.google.com/spreadsheets/d/11923uPwbBZFjjGgGUA6NLw09EwE0CqkOc4q9oUmW1yo/edit?usp=sharing"",""นครสวรรค์!M253"")"),14405)</f>
        <v>14405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IFERROR(__xludf.DUMMYFUNCTION("IMPORTRANGE(""https://docs.google.com/spreadsheets/d/11923uPwbBZFjjGgGUA6NLw09EwE0CqkOc4q9oUmW1yo/edit?usp=sharing"",""นครสวรรค์!J272"")"),70)</f>
        <v>70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IFERROR(__xludf.DUMMYFUNCTION("IMPORTRANGE(""https://docs.google.com/spreadsheets/d/11923uPwbBZFjjGgGUA6NLw09EwE0CqkOc4q9oUmW1yo/edit?usp=sharing"",""นครสวรรค์!M275"")"),282516)</f>
        <v>282516</v>
      </c>
      <c r="O380" s="372">
        <f ca="1">+IF(L380&gt;0,N380*100/L380,0)</f>
        <v>27.468206743670518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IFERROR(__xludf.DUMMYFUNCTION("IMPORTRANGE(""https://docs.google.com/spreadsheets/d/11923uPwbBZFjjGgGUA6NLw09EwE0CqkOc4q9oUmW1yo/edit?usp=sharing"",""นครสวรรค์!M278"")"),282516)</f>
        <v>282516</v>
      </c>
      <c r="O383" s="165">
        <f t="shared" ca="1" si="109"/>
        <v>27.468206743670518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IFERROR(__xludf.DUMMYFUNCTION("IMPORTRANGE(""https://docs.google.com/spreadsheets/d/11923uPwbBZFjjGgGUA6NLw09EwE0CqkOc4q9oUmW1yo/edit?usp=sharing"",""นครสวรรค์!M280"")"),282516)</f>
        <v>282516</v>
      </c>
      <c r="O385" s="168">
        <f t="shared" ca="1" si="109"/>
        <v>27.468206743670518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IFERROR(__xludf.DUMMYFUNCTION("IMPORTRANGE(""https://docs.google.com/spreadsheets/d/11923uPwbBZFjjGgGUA6NLw09EwE0CqkOc4q9oUmW1yo/edit?usp=sharing"",""นครสวรรค์!M281"")"),193885)</f>
        <v>193885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IFERROR(__xludf.DUMMYFUNCTION("IMPORTRANGE(""https://docs.google.com/spreadsheets/d/11923uPwbBZFjjGgGUA6NLw09EwE0CqkOc4q9oUmW1yo/edit?usp=sharing"",""นครสวรรค์!M283"")"),78091)</f>
        <v>78091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IFERROR(__xludf.DUMMYFUNCTION("IMPORTRANGE(""https://docs.google.com/spreadsheets/d/11923uPwbBZFjjGgGUA6NLw09EwE0CqkOc4q9oUmW1yo/edit?usp=sharing"",""นครสวรรค์!M284"")"),10540)</f>
        <v>10540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IFERROR(__xludf.DUMMYFUNCTION("IMPORTRANGE(""https://docs.google.com/spreadsheets/d/11923uPwbBZFjjGgGUA6NLw09EwE0CqkOc4q9oUmW1yo/edit?usp=sharing"",""นครสวรรค์!M296"")"),144970)</f>
        <v>144970</v>
      </c>
      <c r="O401" s="372">
        <f ca="1">+IF(L401&gt;0,N401*100/L401,0)</f>
        <v>90.634573304157556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IFERROR(__xludf.DUMMYFUNCTION("IMPORTRANGE(""https://docs.google.com/spreadsheets/d/11923uPwbBZFjjGgGUA6NLw09EwE0CqkOc4q9oUmW1yo/edit?usp=sharing"",""นครสวรรค์!M299"")"),144970)</f>
        <v>144970</v>
      </c>
      <c r="O404" s="168">
        <f t="shared" ca="1" si="112"/>
        <v>90.634573304157556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IFERROR(__xludf.DUMMYFUNCTION("IMPORTRANGE(""https://docs.google.com/spreadsheets/d/11923uPwbBZFjjGgGUA6NLw09EwE0CqkOc4q9oUmW1yo/edit?usp=sharing"",""นครสวรรค์!M301"")"),144970)</f>
        <v>144970</v>
      </c>
      <c r="O406" s="168">
        <f t="shared" ca="1" si="112"/>
        <v>90.634573304157556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IFERROR(__xludf.DUMMYFUNCTION("IMPORTRANGE(""https://docs.google.com/spreadsheets/d/11923uPwbBZFjjGgGUA6NLw09EwE0CqkOc4q9oUmW1yo/edit?usp=sharing"",""นครสวรรค์!M305"")"),14920)</f>
        <v>14920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IFERROR(__xludf.DUMMYFUNCTION("IMPORTRANGE(""https://docs.google.com/spreadsheets/d/11923uPwbBZFjjGgGUA6NLw09EwE0CqkOc4q9oUmW1yo/edit?usp=sharing"",""นครสวรรค์!M350"")"),257096.83)</f>
        <v>257096.83</v>
      </c>
      <c r="O455" s="372">
        <f t="shared" ref="O455:O459" ca="1" si="116">+IF(L455&gt;0,N455*100/L455,0)</f>
        <v>54.266971038261744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IFERROR(__xludf.DUMMYFUNCTION("IMPORTRANGE(""https://docs.google.com/spreadsheets/d/11923uPwbBZFjjGgGUA6NLw09EwE0CqkOc4q9oUmW1yo/edit?usp=sharing"",""นครสวรรค์!M352"")"),257096.83)</f>
        <v>257096.83</v>
      </c>
      <c r="O457" s="168">
        <f t="shared" ca="1" si="116"/>
        <v>54.266971038261744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IFERROR(__xludf.DUMMYFUNCTION("IMPORTRANGE(""https://docs.google.com/spreadsheets/d/11923uPwbBZFjjGgGUA6NLw09EwE0CqkOc4q9oUmW1yo/edit?usp=sharing"",""นครสวรรค์!M354"")"),257096.83)</f>
        <v>257096.83</v>
      </c>
      <c r="O459" s="168">
        <f t="shared" ca="1" si="116"/>
        <v>54.266971038261744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IFERROR(__xludf.DUMMYFUNCTION("IMPORTRANGE(""https://docs.google.com/spreadsheets/d/11923uPwbBZFjjGgGUA6NLw09EwE0CqkOc4q9oUmW1yo/edit?usp=sharing"",""นครสวรรค์!M358"")"),257096.83)</f>
        <v>257096.83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IFERROR(__xludf.DUMMYFUNCTION("IMPORTRANGE(""https://docs.google.com/spreadsheets/d/11923uPwbBZFjjGgGUA6NLw09EwE0CqkOc4q9oUmW1yo/edit?usp=sharing"",""นครสวรรค์!J368"")"),45976.97)</f>
        <v>45976.97</v>
      </c>
      <c r="K473" s="201">
        <f t="shared" ca="1" si="117"/>
        <v>100.00210979641552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IFERROR(__xludf.DUMMYFUNCTION("IMPORTRANGE(""https://docs.google.com/spreadsheets/d/11923uPwbBZFjjGgGUA6NLw09EwE0CqkOc4q9oUmW1yo/edit?usp=sharing"",""นครสวรรค์!J372"")"),7556.46)</f>
        <v>7556.46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IFERROR(__xludf.DUMMYFUNCTION("IMPORTRANGE(""https://docs.google.com/spreadsheets/d/11923uPwbBZFjjGgGUA6NLw09EwE0CqkOc4q9oUmW1yo/edit?usp=sharing"",""นครสวรรค์!J378"")"),40326)</f>
        <v>40326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IFERROR(__xludf.DUMMYFUNCTION("IMPORTRANGE(""https://docs.google.com/spreadsheets/d/11923uPwbBZFjjGgGUA6NLw09EwE0CqkOc4q9oUmW1yo/edit?usp=sharing"",""นครสวรรค์!J379"")"),3067)</f>
        <v>3067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IFERROR(__xludf.DUMMYFUNCTION("IMPORTRANGE(""https://docs.google.com/spreadsheets/d/11923uPwbBZFjjGgGUA6NLw09EwE0CqkOc4q9oUmW1yo/edit?usp=sharing"",""นครสวรรค์!J380"")"),63)</f>
        <v>63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IFERROR(__xludf.DUMMYFUNCTION("IMPORTRANGE(""https://docs.google.com/spreadsheets/d/11923uPwbBZFjjGgGUA6NLw09EwE0CqkOc4q9oUmW1yo/edit?usp=sharing"",""นครสวรรค์!J381"")"),14)</f>
        <v>14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IFERROR(__xludf.DUMMYFUNCTION("IMPORTRANGE(""https://docs.google.com/spreadsheets/d/11923uPwbBZFjjGgGUA6NLw09EwE0CqkOc4q9oUmW1yo/edit?usp=sharing"",""นครสวรรค์!J382"")"),1252)</f>
        <v>1252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IFERROR(__xludf.DUMMYFUNCTION("IMPORTRANGE(""https://docs.google.com/spreadsheets/d/11923uPwbBZFjjGgGUA6NLw09EwE0CqkOc4q9oUmW1yo/edit?usp=sharing"",""นครสวรรค์!J383"")"),111)</f>
        <v>111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IFERROR(__xludf.DUMMYFUNCTION("IMPORTRANGE(""https://docs.google.com/spreadsheets/d/11923uPwbBZFjjGgGUA6NLw09EwE0CqkOc4q9oUmW1yo/edit?usp=sharing"",""นครสวรรค์!J384"")"),1252)</f>
        <v>1252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IFERROR(__xludf.DUMMYFUNCTION("IMPORTRANGE(""https://docs.google.com/spreadsheets/d/11923uPwbBZFjjGgGUA6NLw09EwE0CqkOc4q9oUmW1yo/edit?usp=sharing"",""นครสวรรค์!J385"")"),111)</f>
        <v>111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IFERROR(__xludf.DUMMYFUNCTION("IMPORTRANGE(""https://docs.google.com/spreadsheets/d/11923uPwbBZFjjGgGUA6NLw09EwE0CqkOc4q9oUmW1yo/edit?usp=sharing"",""นครสวรรค์!J388"")"),4336)</f>
        <v>4336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IFERROR(__xludf.DUMMYFUNCTION("IMPORTRANGE(""https://docs.google.com/spreadsheets/d/11923uPwbBZFjjGgGUA6NLw09EwE0CqkOc4q9oUmW1yo/edit?usp=sharing"",""นครสวรรค์!J389"")"),255)</f>
        <v>255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IFERROR(__xludf.DUMMYFUNCTION("IMPORTRANGE(""https://docs.google.com/spreadsheets/d/11923uPwbBZFjjGgGUA6NLw09EwE0CqkOc4q9oUmW1yo/edit?usp=sharing"",""นครสวรรค์!J392"")"),14262)</f>
        <v>14262</v>
      </c>
      <c r="K497" s="444">
        <f t="shared" ca="1" si="117"/>
        <v>100.00701213098661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IFERROR(__xludf.DUMMYFUNCTION("IMPORTRANGE(""https://docs.google.com/spreadsheets/d/11923uPwbBZFjjGgGUA6NLw09EwE0CqkOc4q9oUmW1yo/edit?usp=sharing"",""นครสวรรค์!J393"")"),14262)</f>
        <v>14262</v>
      </c>
      <c r="K498" s="163">
        <f t="shared" ca="1" si="117"/>
        <v>100.00701213098661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IFERROR(__xludf.DUMMYFUNCTION("IMPORTRANGE(""https://docs.google.com/spreadsheets/d/11923uPwbBZFjjGgGUA6NLw09EwE0CqkOc4q9oUmW1yo/edit?usp=sharing"",""นครสวรรค์!J394"")"),770)</f>
        <v>770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IFERROR(__xludf.DUMMYFUNCTION("IMPORTRANGE(""https://docs.google.com/spreadsheets/d/11923uPwbBZFjjGgGUA6NLw09EwE0CqkOc4q9oUmW1yo/edit?usp=sharing"",""นครสวรรค์!J395"")"),14175)</f>
        <v>14175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IFERROR(__xludf.DUMMYFUNCTION("IMPORTRANGE(""https://docs.google.com/spreadsheets/d/11923uPwbBZFjjGgGUA6NLw09EwE0CqkOc4q9oUmW1yo/edit?usp=sharing"",""นครสวรรค์!J396"")"),766)</f>
        <v>766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IFERROR(__xludf.DUMMYFUNCTION("IMPORTRANGE(""https://docs.google.com/spreadsheets/d/11923uPwbBZFjjGgGUA6NLw09EwE0CqkOc4q9oUmW1yo/edit?usp=sharing"",""นครสวรรค์!J397"")"),5473)</f>
        <v>5473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IFERROR(__xludf.DUMMYFUNCTION("IMPORTRANGE(""https://docs.google.com/spreadsheets/d/11923uPwbBZFjjGgGUA6NLw09EwE0CqkOc4q9oUmW1yo/edit?usp=sharing"",""นครสวรรค์!J398"")"),286)</f>
        <v>286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IFERROR(__xludf.DUMMYFUNCTION("IMPORTRANGE(""https://docs.google.com/spreadsheets/d/11923uPwbBZFjjGgGUA6NLw09EwE0CqkOc4q9oUmW1yo/edit?usp=sharing"",""นครสวรรค์!J399"")"),8702)</f>
        <v>8702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IFERROR(__xludf.DUMMYFUNCTION("IMPORTRANGE(""https://docs.google.com/spreadsheets/d/11923uPwbBZFjjGgGUA6NLw09EwE0CqkOc4q9oUmW1yo/edit?usp=sharing"",""นครสวรรค์!J400"")"),480)</f>
        <v>480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IFERROR(__xludf.DUMMYFUNCTION("IMPORTRANGE(""https://docs.google.com/spreadsheets/d/11923uPwbBZFjjGgGUA6NLw09EwE0CqkOc4q9oUmW1yo/edit?usp=sharing"",""นครสวรรค์!J403"")"),87)</f>
        <v>87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IFERROR(__xludf.DUMMYFUNCTION("IMPORTRANGE(""https://docs.google.com/spreadsheets/d/11923uPwbBZFjjGgGUA6NLw09EwE0CqkOc4q9oUmW1yo/edit?usp=sharing"",""นครสวรรค์!J405"")"),19)</f>
        <v>19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IFERROR(__xludf.DUMMYFUNCTION("IMPORTRANGE(""https://docs.google.com/spreadsheets/d/11923uPwbBZFjjGgGUA6NLw09EwE0CqkOc4q9oUmW1yo/edit?usp=sharing"",""นครสวรรค์!J407"")"),68)</f>
        <v>68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IFERROR(__xludf.DUMMYFUNCTION("IMPORTRANGE(""https://docs.google.com/spreadsheets/d/11923uPwbBZFjjGgGUA6NLw09EwE0CqkOc4q9oUmW1yo/edit?usp=sharing"",""นครสวรรค์!J420"")"),209)</f>
        <v>209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IFERROR(__xludf.DUMMYFUNCTION("IMPORTRANGE(""https://docs.google.com/spreadsheets/d/11923uPwbBZFjjGgGUA6NLw09EwE0CqkOc4q9oUmW1yo/edit?usp=sharing"",""นครสวรรค์!J421"")"),20)</f>
        <v>20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IFERROR(__xludf.DUMMYFUNCTION("IMPORTRANGE(""https://docs.google.com/spreadsheets/d/11923uPwbBZFjjGgGUA6NLw09EwE0CqkOc4q9oUmW1yo/edit?usp=sharing"",""นครสวรรค์!J422"")"),80)</f>
        <v>80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IFERROR(__xludf.DUMMYFUNCTION("IMPORTRANGE(""https://docs.google.com/spreadsheets/d/11923uPwbBZFjjGgGUA6NLw09EwE0CqkOc4q9oUmW1yo/edit?usp=sharing"",""นครสวรรค์!J424"")"),129)</f>
        <v>129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IFERROR(__xludf.DUMMYFUNCTION("IMPORTRANGE(""https://docs.google.com/spreadsheets/d/11923uPwbBZFjjGgGUA6NLw09EwE0CqkOc4q9oUmW1yo/edit?usp=sharing"",""นครสวรรค์!M428"")"),24185)</f>
        <v>24185</v>
      </c>
      <c r="O533" s="411">
        <f t="shared" ref="O533:O537" ca="1" si="118">+IF(L533&gt;0,N533*100/L533,0)</f>
        <v>70.4280722189866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IFERROR(__xludf.DUMMYFUNCTION("IMPORTRANGE(""https://docs.google.com/spreadsheets/d/11923uPwbBZFjjGgGUA6NLw09EwE0CqkOc4q9oUmW1yo/edit?usp=sharing"",""นครสวรรค์!M430"")"),24185)</f>
        <v>24185</v>
      </c>
      <c r="O535" s="168">
        <f t="shared" ca="1" si="118"/>
        <v>70.4280722189866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IFERROR(__xludf.DUMMYFUNCTION("IMPORTRANGE(""https://docs.google.com/spreadsheets/d/11923uPwbBZFjjGgGUA6NLw09EwE0CqkOc4q9oUmW1yo/edit?usp=sharing"",""นครสวรรค์!M432"")"),24185)</f>
        <v>24185</v>
      </c>
      <c r="O537" s="168">
        <f t="shared" ca="1" si="118"/>
        <v>70.4280722189866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IFERROR(__xludf.DUMMYFUNCTION("IMPORTRANGE(""https://docs.google.com/spreadsheets/d/11923uPwbBZFjjGgGUA6NLw09EwE0CqkOc4q9oUmW1yo/edit?usp=sharing"",""นครสวรรค์!M436"")"),5445)</f>
        <v>5445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IFERROR(__xludf.DUMMYFUNCTION("IMPORTRANGE(""https://docs.google.com/spreadsheets/d/11923uPwbBZFjjGgGUA6NLw09EwE0CqkOc4q9oUmW1yo/edit?usp=sharing"",""นครสวรรค์!J459"")"),3317)</f>
        <v>3317</v>
      </c>
      <c r="K564" s="371">
        <f ca="1">IF(I564&gt;0,J564*100/I564,0)</f>
        <v>120.61818181818182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IFERROR(__xludf.DUMMYFUNCTION("IMPORTRANGE(""https://docs.google.com/spreadsheets/d/11923uPwbBZFjjGgGUA6NLw09EwE0CqkOc4q9oUmW1yo/edit?usp=sharing"",""นครสวรรค์!M459"")"),99225)</f>
        <v>99225</v>
      </c>
      <c r="O564" s="372">
        <f t="shared" ref="O564:O568" ca="1" si="122">+IF(L564&gt;0,N564*100/L564,0)</f>
        <v>70.794092465753423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IFERROR(__xludf.DUMMYFUNCTION("IMPORTRANGE(""https://docs.google.com/spreadsheets/d/11923uPwbBZFjjGgGUA6NLw09EwE0CqkOc4q9oUmW1yo/edit?usp=sharing"",""นครสวรรค์!M461"")"),99225)</f>
        <v>99225</v>
      </c>
      <c r="O566" s="168">
        <f t="shared" ca="1" si="122"/>
        <v>70.794092465753423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IFERROR(__xludf.DUMMYFUNCTION("IMPORTRANGE(""https://docs.google.com/spreadsheets/d/11923uPwbBZFjjGgGUA6NLw09EwE0CqkOc4q9oUmW1yo/edit?usp=sharing"",""นครสวรรค์!M463"")"),99225)</f>
        <v>99225</v>
      </c>
      <c r="O568" s="168">
        <f t="shared" ca="1" si="122"/>
        <v>70.794092465753423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IFERROR(__xludf.DUMMYFUNCTION("IMPORTRANGE(""https://docs.google.com/spreadsheets/d/11923uPwbBZFjjGgGUA6NLw09EwE0CqkOc4q9oUmW1yo/edit?usp=sharing"",""นครสวรรค์!M466"")"),79926)</f>
        <v>79926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IFERROR(__xludf.DUMMYFUNCTION("IMPORTRANGE(""https://docs.google.com/spreadsheets/d/11923uPwbBZFjjGgGUA6NLw09EwE0CqkOc4q9oUmW1yo/edit?usp=sharing"",""นครสวรรค์!M467"")"),19299)</f>
        <v>19299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IFERROR(__xludf.DUMMYFUNCTION("IMPORTRANGE(""https://docs.google.com/spreadsheets/d/11923uPwbBZFjjGgGUA6NLw09EwE0CqkOc4q9oUmW1yo/edit?usp=sharing"",""นครสวรรค์!J468"")"),3317)</f>
        <v>3317</v>
      </c>
      <c r="K573" s="201">
        <f ca="1">IF(I573&gt;0,J573*100/I573,0)</f>
        <v>120.61818181818182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IFERROR(__xludf.DUMMYFUNCTION("IMPORTRANGE(""https://docs.google.com/spreadsheets/d/11923uPwbBZFjjGgGUA6NLw09EwE0CqkOc4q9oUmW1yo/edit?usp=sharing"",""นครสวรรค์!J472"")"),2989)</f>
        <v>2989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IFERROR(__xludf.DUMMYFUNCTION("IMPORTRANGE(""https://docs.google.com/spreadsheets/d/11923uPwbBZFjjGgGUA6NLw09EwE0CqkOc4q9oUmW1yo/edit?usp=sharing"",""นครสวรรค์!J473"")"),13)</f>
        <v>13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IFERROR(__xludf.DUMMYFUNCTION("IMPORTRANGE(""https://docs.google.com/spreadsheets/d/11923uPwbBZFjjGgGUA6NLw09EwE0CqkOc4q9oUmW1yo/edit?usp=sharing"",""นครสวรรค์!J475"")"),2)</f>
        <v>2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IFERROR(__xludf.DUMMYFUNCTION("IMPORTRANGE(""https://docs.google.com/spreadsheets/d/11923uPwbBZFjjGgGUA6NLw09EwE0CqkOc4q9oUmW1yo/edit?usp=sharing"",""นครสวรรค์!J484"")"),3)</f>
        <v>3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IFERROR(__xludf.DUMMYFUNCTION("IMPORTRANGE(""https://docs.google.com/spreadsheets/d/11923uPwbBZFjjGgGUA6NLw09EwE0CqkOc4q9oUmW1yo/edit?usp=sharing"",""นครสวรรค์!J485"")"),12.6)</f>
        <v>12.6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IFERROR(__xludf.DUMMYFUNCTION("IMPORTRANGE(""https://docs.google.com/spreadsheets/d/11923uPwbBZFjjGgGUA6NLw09EwE0CqkOc4q9oUmW1yo/edit?usp=sharing"",""นครสวรรค์!J487"")"),1.47)</f>
        <v>1.47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IFERROR(__xludf.DUMMYFUNCTION("IMPORTRANGE(""https://docs.google.com/spreadsheets/d/11923uPwbBZFjjGgGUA6NLw09EwE0CqkOc4q9oUmW1yo/edit?usp=sharing"",""นครสวรรค์!J491"")"),1.47)</f>
        <v>1.47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8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IFERROR(__xludf.DUMMYFUNCTION("IMPORTRANGE(""https://docs.google.com/spreadsheets/d/11923uPwbBZFjjGgGUA6NLw09EwE0CqkOc4q9oUmW1yo/edit?usp=sharing"",""นครสวรรค์!L492"")"),5350)</f>
        <v>5350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14.953271028037383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IFERROR(__xludf.DUMMYFUNCTION("IMPORTRANGE(""https://docs.google.com/spreadsheets/d/11923uPwbBZFjjGgGUA6NLw09EwE0CqkOc4q9oUmW1yo/edit?usp=sharing"",""นครสวรรค์!J525"")"),626080.92)</f>
        <v>626080.92000000004</v>
      </c>
      <c r="K630" s="342">
        <f t="shared" ca="1" si="129"/>
        <v>12.55820167217481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IFERROR(__xludf.DUMMYFUNCTION("IMPORTRANGE(""https://docs.google.com/spreadsheets/d/11923uPwbBZFjjGgGUA6NLw09EwE0CqkOc4q9oUmW1yo/edit?usp=sharing"",""นครสวรรค์!J526"")"),222)</f>
        <v>222</v>
      </c>
      <c r="K631" s="342">
        <f t="shared" ca="1" si="129"/>
        <v>83.458646616541358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IFERROR(__xludf.DUMMYFUNCTION("IMPORTRANGE(""https://docs.google.com/spreadsheets/d/11923uPwbBZFjjGgGUA6NLw09EwE0CqkOc4q9oUmW1yo/edit?usp=sharing"",""นครสวรรค์!J527"")"),16705446.76)</f>
        <v>16705446.76</v>
      </c>
      <c r="K632" s="342">
        <f t="shared" ca="1" si="129"/>
        <v>32.512014054610809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IFERROR(__xludf.DUMMYFUNCTION("IMPORTRANGE(""https://docs.google.com/spreadsheets/d/11923uPwbBZFjjGgGUA6NLw09EwE0CqkOc4q9oUmW1yo/edit?usp=sharing"",""นครสวรรค์!J528"")"),2685)</f>
        <v>2685</v>
      </c>
      <c r="K633" s="342">
        <f t="shared" ca="1" si="129"/>
        <v>62.470916705444395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IFERROR(__xludf.DUMMYFUNCTION("IMPORTRANGE(""https://docs.google.com/spreadsheets/d/11923uPwbBZFjjGgGUA6NLw09EwE0CqkOc4q9oUmW1yo/edit?usp=sharing"",""นครสวรรค์!J529"")"),1260000)</f>
        <v>1260000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IFERROR(__xludf.DUMMYFUNCTION("IMPORTRANGE(""https://docs.google.com/spreadsheets/d/11923uPwbBZFjjGgGUA6NLw09EwE0CqkOc4q9oUmW1yo/edit?usp=sharing"",""นครสวรรค์!I530"")"),63)</f>
        <v>63</v>
      </c>
      <c r="J635" s="505">
        <f ca="1">IFERROR(__xludf.DUMMYFUNCTION("IMPORTRANGE(""https://docs.google.com/spreadsheets/d/11923uPwbBZFjjGgGUA6NLw09EwE0CqkOc4q9oUmW1yo/edit?usp=sharing"",""นครสวรรค์!J530"")"),63)</f>
        <v>63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138115</v>
      </c>
      <c r="M636" s="511"/>
      <c r="N636" s="510">
        <f ca="1">SUM(N637:N638)</f>
        <v>29190</v>
      </c>
      <c r="O636" s="510">
        <f t="shared" ref="O636:O640" ca="1" si="130">+IF(L636&gt;0,N636*100/L636,0)</f>
        <v>21.134561778228289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138115</v>
      </c>
      <c r="M638" s="521"/>
      <c r="N638" s="522">
        <f ca="1">SUM(N639:N640)</f>
        <v>29190</v>
      </c>
      <c r="O638" s="522">
        <f t="shared" ca="1" si="130"/>
        <v>21.134561778228289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138115</v>
      </c>
      <c r="M640" s="521"/>
      <c r="N640" s="522">
        <f ca="1">SUM(N641:N644)</f>
        <v>29190</v>
      </c>
      <c r="O640" s="522">
        <f t="shared" ca="1" si="130"/>
        <v>21.134561778228289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29190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IFERROR(__xludf.DUMMYFUNCTION("IMPORTRANGE(""https://docs.google.com/spreadsheets/d/11923uPwbBZFjjGgGUA6NLw09EwE0CqkOc4q9oUmW1yo/edit?usp=sharing"",""นครสวรรค์!J541"")"),0)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IFERROR(__xludf.DUMMYFUNCTION("IMPORTRANGE(""https://docs.google.com/spreadsheets/d/11923uPwbBZFjjGgGUA6NLw09EwE0CqkOc4q9oUmW1yo/edit?usp=sharing"",""นครสวรรค์!J542"")"),0)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IFERROR(__xludf.DUMMYFUNCTION("IMPORTRANGE(""https://docs.google.com/spreadsheets/d/11923uPwbBZFjjGgGUA6NLw09EwE0CqkOc4q9oUmW1yo/edit?usp=sharing"",""นครสวรรค์!I543"")"),85)</f>
        <v>85</v>
      </c>
      <c r="J648" s="536">
        <f ca="1">IFERROR(__xludf.DUMMYFUNCTION("IMPORTRANGE(""https://docs.google.com/spreadsheets/d/11923uPwbBZFjjGgGUA6NLw09EwE0CqkOc4q9oUmW1yo/edit?usp=sharing"",""นครสวรรค์!J543"")"),52.44)</f>
        <v>52.44</v>
      </c>
      <c r="K648" s="537">
        <f t="shared" ref="K648:K651" ca="1" si="131">IF(I648&gt;0,J648*100/I648,0)</f>
        <v>61.694117647058825</v>
      </c>
      <c r="L648" s="522">
        <f ca="1">IFERROR(__xludf.DUMMYFUNCTION("IMPORTRANGE(""https://docs.google.com/spreadsheets/d/11923uPwbBZFjjGgGUA6NLw09EwE0CqkOc4q9oUmW1yo/edit?usp=sharing"",""นครสวรรค์!L543"")"),6800)</f>
        <v>6800</v>
      </c>
      <c r="M648" s="521"/>
      <c r="N648" s="538">
        <f ca="1">IFERROR(__xludf.DUMMYFUNCTION("IMPORTRANGE(""https://docs.google.com/spreadsheets/d/11923uPwbBZFjjGgGUA6NLw09EwE0CqkOc4q9oUmW1yo/edit?usp=sharing"",""นครสวรรค์!M543"")"),0)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IFERROR(__xludf.DUMMYFUNCTION("IMPORTRANGE(""https://docs.google.com/spreadsheets/d/11923uPwbBZFjjGgGUA6NLw09EwE0CqkOc4q9oUmW1yo/edit?usp=sharing"",""นครสวรรค์!I544"")"),7)</f>
        <v>7</v>
      </c>
      <c r="J649" s="536">
        <f ca="1">IFERROR(__xludf.DUMMYFUNCTION("IMPORTRANGE(""https://docs.google.com/spreadsheets/d/11923uPwbBZFjjGgGUA6NLw09EwE0CqkOc4q9oUmW1yo/edit?usp=sharing"",""นครสวรรค์!J544"")"),0)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IFERROR(__xludf.DUMMYFUNCTION("IMPORTRANGE(""https://docs.google.com/spreadsheets/d/11923uPwbBZFjjGgGUA6NLw09EwE0CqkOc4q9oUmW1yo/edit?usp=sharing"",""นครสวรรค์!L544"")"),840)</f>
        <v>840</v>
      </c>
      <c r="M649" s="521"/>
      <c r="N649" s="538">
        <f ca="1">IFERROR(__xludf.DUMMYFUNCTION("IMPORTRANGE(""https://docs.google.com/spreadsheets/d/11923uPwbBZFjjGgGUA6NLw09EwE0CqkOc4q9oUmW1yo/edit?usp=sharing"",""นครสวรรค์!M544"")"),0)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IFERROR(__xludf.DUMMYFUNCTION("IMPORTRANGE(""https://docs.google.com/spreadsheets/d/11923uPwbBZFjjGgGUA6NLw09EwE0CqkOc4q9oUmW1yo/edit?usp=sharing"",""นครสวรรค์!I545"")"),1455)</f>
        <v>1455</v>
      </c>
      <c r="J650" s="536">
        <f ca="1">IFERROR(__xludf.DUMMYFUNCTION("IMPORTRANGE(""https://docs.google.com/spreadsheets/d/11923uPwbBZFjjGgGUA6NLw09EwE0CqkOc4q9oUmW1yo/edit?usp=sharing"",""นครสวรรค์!J545"")"),0)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IFERROR(__xludf.DUMMYFUNCTION("IMPORTRANGE(""https://docs.google.com/spreadsheets/d/11923uPwbBZFjjGgGUA6NLw09EwE0CqkOc4q9oUmW1yo/edit?usp=sharing"",""นครสวรรค์!L545"")"),7275)</f>
        <v>7275</v>
      </c>
      <c r="M650" s="521"/>
      <c r="N650" s="538">
        <f ca="1">IFERROR(__xludf.DUMMYFUNCTION("IMPORTRANGE(""https://docs.google.com/spreadsheets/d/11923uPwbBZFjjGgGUA6NLw09EwE0CqkOc4q9oUmW1yo/edit?usp=sharing"",""นครสวรรค์!M545"")"),0)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IFERROR(__xludf.DUMMYFUNCTION("IMPORTRANGE(""https://docs.google.com/spreadsheets/d/11923uPwbBZFjjGgGUA6NLw09EwE0CqkOc4q9oUmW1yo/edit?usp=sharing"",""นครสวรรค์!I546"")"),600)</f>
        <v>600</v>
      </c>
      <c r="J651" s="536">
        <f ca="1">J657+J660</f>
        <v>820</v>
      </c>
      <c r="K651" s="537">
        <f t="shared" ca="1" si="131"/>
        <v>136.66666666666666</v>
      </c>
      <c r="L651" s="522">
        <f ca="1">IFERROR(__xludf.DUMMYFUNCTION("IMPORTRANGE(""https://docs.google.com/spreadsheets/d/11923uPwbBZFjjGgGUA6NLw09EwE0CqkOc4q9oUmW1yo/edit?usp=sharing"",""นครสวรรค์!L546"")"),15000)</f>
        <v>15000</v>
      </c>
      <c r="M651" s="521"/>
      <c r="N651" s="538">
        <f ca="1">IFERROR(__xludf.DUMMYFUNCTION("IMPORTRANGE(""https://docs.google.com/spreadsheets/d/11923uPwbBZFjjGgGUA6NLw09EwE0CqkOc4q9oUmW1yo/edit?usp=sharing"",""นครสวรรค์!M546"")"),11340)</f>
        <v>11340</v>
      </c>
      <c r="O651" s="537">
        <f t="shared" ca="1" si="132"/>
        <v>75.599999999999994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IFERROR(__xludf.DUMMYFUNCTION("IMPORTRANGE(""https://docs.google.com/spreadsheets/d/11923uPwbBZFjjGgGUA6NLw09EwE0CqkOc4q9oUmW1yo/edit?usp=sharing"",""นครสวรรค์!J547"")"),34)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IFERROR(__xludf.DUMMYFUNCTION("IMPORTRANGE(""https://docs.google.com/spreadsheets/d/11923uPwbBZFjjGgGUA6NLw09EwE0CqkOc4q9oUmW1yo/edit?usp=sharing"",""นครสวรรค์!J548"")"),820)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IFERROR(__xludf.DUMMYFUNCTION("IMPORTRANGE(""https://docs.google.com/spreadsheets/d/11923uPwbBZFjjGgGUA6NLw09EwE0CqkOc4q9oUmW1yo/edit?usp=sharing"",""นครสวรรค์!J550"")"),38)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IFERROR(__xludf.DUMMYFUNCTION("IMPORTRANGE(""https://docs.google.com/spreadsheets/d/11923uPwbBZFjjGgGUA6NLw09EwE0CqkOc4q9oUmW1yo/edit?usp=sharing"",""นครสวรรค์!J551"")"),40)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IFERROR(__xludf.DUMMYFUNCTION("IMPORTRANGE(""https://docs.google.com/spreadsheets/d/11923uPwbBZFjjGgGUA6NLw09EwE0CqkOc4q9oUmW1yo/edit?usp=sharing"",""นครสวรรค์!J552"")"),820)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IFERROR(__xludf.DUMMYFUNCTION("IMPORTRANGE(""https://docs.google.com/spreadsheets/d/11923uPwbBZFjjGgGUA6NLw09EwE0CqkOc4q9oUmW1yo/edit?usp=sharing"",""นครสวรรค์!J553"")"),0)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IFERROR(__xludf.DUMMYFUNCTION("IMPORTRANGE(""https://docs.google.com/spreadsheets/d/11923uPwbBZFjjGgGUA6NLw09EwE0CqkOc4q9oUmW1yo/edit?usp=sharing"",""นครสวรรค์!J554"")"),0)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IFERROR(__xludf.DUMMYFUNCTION("IMPORTRANGE(""https://docs.google.com/spreadsheets/d/11923uPwbBZFjjGgGUA6NLw09EwE0CqkOc4q9oUmW1yo/edit?usp=sharing"",""นครสวรรค์!J555"")"),0)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IFERROR(__xludf.DUMMYFUNCTION("IMPORTRANGE(""https://docs.google.com/spreadsheets/d/11923uPwbBZFjjGgGUA6NLw09EwE0CqkOc4q9oUmW1yo/edit?usp=sharing"",""นครสวรรค์!J556"")"),43)</f>
        <v>43</v>
      </c>
      <c r="K661" s="537"/>
      <c r="L661" s="522">
        <f ca="1">IFERROR(__xludf.DUMMYFUNCTION("IMPORTRANGE(""https://docs.google.com/spreadsheets/d/11923uPwbBZFjjGgGUA6NLw09EwE0CqkOc4q9oUmW1yo/edit?usp=sharing"",""นครสวรรค์!L556"")"),103400)</f>
        <v>103400</v>
      </c>
      <c r="M661" s="521"/>
      <c r="N661" s="538">
        <f ca="1">IFERROR(__xludf.DUMMYFUNCTION("IMPORTRANGE(""https://docs.google.com/spreadsheets/d/11923uPwbBZFjjGgGUA6NLw09EwE0CqkOc4q9oUmW1yo/edit?usp=sharing"",""นครสวรรค์!M556"")"),17850)</f>
        <v>17850</v>
      </c>
      <c r="O661" s="537">
        <f ca="1">IF(L661&gt;0,N661*100/L661,0)</f>
        <v>17.263056092843328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IFERROR(__xludf.DUMMYFUNCTION("IMPORTRANGE(""https://docs.google.com/spreadsheets/d/11923uPwbBZFjjGgGUA6NLw09EwE0CqkOc4q9oUmW1yo/edit?usp=sharing"",""นครสวรรค์!J557"")"),47)</f>
        <v>47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IFERROR(__xludf.DUMMYFUNCTION("IMPORTRANGE(""https://docs.google.com/spreadsheets/d/11923uPwbBZFjjGgGUA6NLw09EwE0CqkOc4q9oUmW1yo/edit?usp=sharing"",""นครสวรรค์!I558"")"),2585)</f>
        <v>2585</v>
      </c>
      <c r="J663" s="536">
        <f ca="1">IFERROR(__xludf.DUMMYFUNCTION("IMPORTRANGE(""https://docs.google.com/spreadsheets/d/11923uPwbBZFjjGgGUA6NLw09EwE0CqkOc4q9oUmW1yo/edit?usp=sharing"",""นครสวรรค์!J558"")"),860.17)</f>
        <v>860.17</v>
      </c>
      <c r="K663" s="537">
        <f ca="1">IF(I663&gt;0,J663*100/I663,0)</f>
        <v>33.27543520309478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IFERROR(__xludf.DUMMYFUNCTION("IMPORTRANGE(""https://docs.google.com/spreadsheets/d/11923uPwbBZFjjGgGUA6NLw09EwE0CqkOc4q9oUmW1yo/edit?usp=sharing"",""นครสวรรค์!I560"")"),40)</f>
        <v>40</v>
      </c>
      <c r="J665" s="536">
        <f ca="1">IFERROR(__xludf.DUMMYFUNCTION("IMPORTRANGE(""https://docs.google.com/spreadsheets/d/11923uPwbBZFjjGgGUA6NLw09EwE0CqkOc4q9oUmW1yo/edit?usp=sharing"",""นครสวรรค์!J560"")"),0)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IFERROR(__xludf.DUMMYFUNCTION("IMPORTRANGE(""https://docs.google.com/spreadsheets/d/11923uPwbBZFjjGgGUA6NLw09EwE0CqkOc4q9oUmW1yo/edit?usp=sharing"",""นครสวรรค์!L560"")"),4800)</f>
        <v>4800</v>
      </c>
      <c r="M665" s="521"/>
      <c r="N665" s="538">
        <f ca="1">IFERROR(__xludf.DUMMYFUNCTION("IMPORTRANGE(""https://docs.google.com/spreadsheets/d/11923uPwbBZFjjGgGUA6NLw09EwE0CqkOc4q9oUmW1yo/edit?usp=sharing"",""นครสวรรค์!M560"")"),0)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IFERROR(__xludf.DUMMYFUNCTION("IMPORTRANGE(""https://docs.google.com/spreadsheets/d/11923uPwbBZFjjGgGUA6NLw09EwE0CqkOc4q9oUmW1yo/edit?usp=sharing"",""นครสวรรค์!J561"")"),0)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IFERROR(__xludf.DUMMYFUNCTION("IMPORTRANGE(""https://docs.google.com/spreadsheets/d/11923uPwbBZFjjGgGUA6NLw09EwE0CqkOc4q9oUmW1yo/edit?usp=sharing"",""นครสวรรค์!J562"")"),0)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IFERROR(__xludf.DUMMYFUNCTION("IMPORTRANGE(""https://docs.google.com/spreadsheets/d/11923uPwbBZFjjGgGUA6NLw09EwE0CqkOc4q9oUmW1yo/edit?usp=sharing"",""นครสวรรค์!I563"")"),0)</f>
        <v>0</v>
      </c>
      <c r="J668" s="536">
        <f ca="1">IFERROR(__xludf.DUMMYFUNCTION("IMPORTRANGE(""https://docs.google.com/spreadsheets/d/11923uPwbBZFjjGgGUA6NLw09EwE0CqkOc4q9oUmW1yo/edit?usp=sharing"",""นครสวรรค์!J563"")"),0)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IFERROR(__xludf.DUMMYFUNCTION("IMPORTRANGE(""https://docs.google.com/spreadsheets/d/11923uPwbBZFjjGgGUA6NLw09EwE0CqkOc4q9oUmW1yo/edit?usp=sharing"",""นครสวรรค์!L563"")"),0)</f>
        <v>0</v>
      </c>
      <c r="M668" s="521"/>
      <c r="N668" s="538">
        <f ca="1">IFERROR(__xludf.DUMMYFUNCTION("IMPORTRANGE(""https://docs.google.com/spreadsheets/d/11923uPwbBZFjjGgGUA6NLw09EwE0CqkOc4q9oUmW1yo/edit?usp=sharing"",""นครสวรรค์!M563"")"),0)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IFERROR(__xludf.DUMMYFUNCTION("IMPORTRANGE(""https://docs.google.com/spreadsheets/d/11923uPwbBZFjjGgGUA6NLw09EwE0CqkOc4q9oUmW1yo/edit?usp=sharing"",""นครสวรรค์!J564"")"),0)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IFERROR(__xludf.DUMMYFUNCTION("IMPORTRANGE(""https://docs.google.com/spreadsheets/d/11923uPwbBZFjjGgGUA6NLw09EwE0CqkOc4q9oUmW1yo/edit?usp=sharing"",""นครสวรรค์!J565"")"),0)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IFERROR(__xludf.DUMMYFUNCTION("IMPORTRANGE(""https://docs.google.com/spreadsheets/d/11923uPwbBZFjjGgGUA6NLw09EwE0CqkOc4q9oUmW1yo/edit?usp=sharing"",""นครสวรรค์!I566"")"),0)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IFERROR(__xludf.DUMMYFUNCTION("IMPORTRANGE(""https://docs.google.com/spreadsheets/d/11923uPwbBZFjjGgGUA6NLw09EwE0CqkOc4q9oUmW1yo/edit?usp=sharing"",""นครสวรรค์!L566"")"),0)</f>
        <v>0</v>
      </c>
      <c r="M671" s="521"/>
      <c r="N671" s="538">
        <f ca="1">IFERROR(__xludf.DUMMYFUNCTION("IMPORTRANGE(""https://docs.google.com/spreadsheets/d/11923uPwbBZFjjGgGUA6NLw09EwE0CqkOc4q9oUmW1yo/edit?usp=sharing"",""นครสวรรค์!M566"")"),0)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IFERROR(__xludf.DUMMYFUNCTION("IMPORTRANGE(""https://docs.google.com/spreadsheets/d/11923uPwbBZFjjGgGUA6NLw09EwE0CqkOc4q9oUmW1yo/edit?usp=sharing"",""นครสวรรค์!J567"")"),0)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IFERROR(__xludf.DUMMYFUNCTION("IMPORTRANGE(""https://docs.google.com/spreadsheets/d/11923uPwbBZFjjGgGUA6NLw09EwE0CqkOc4q9oUmW1yo/edit?usp=sharing"",""นครสวรรค์!J568"")"),0)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IFERROR(__xludf.DUMMYFUNCTION("IMPORTRANGE(""https://docs.google.com/spreadsheets/d/11923uPwbBZFjjGgGUA6NLw09EwE0CqkOc4q9oUmW1yo/edit?usp=sharing"",""นครสวรรค์!J569"")"),0)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IFERROR(__xludf.DUMMYFUNCTION("IMPORTRANGE(""https://docs.google.com/spreadsheets/d/11923uPwbBZFjjGgGUA6NLw09EwE0CqkOc4q9oUmW1yo/edit?usp=sharing"",""นครสวรรค์!J570"")"),0)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IFERROR(__xludf.DUMMYFUNCTION("IMPORTRANGE(""https://docs.google.com/spreadsheets/d/11923uPwbBZFjjGgGUA6NLw09EwE0CqkOc4q9oUmW1yo/edit?usp=sharing"",""นครสวรรค์!J571"")"),0)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IFERROR(__xludf.DUMMYFUNCTION("IMPORTRANGE(""https://docs.google.com/spreadsheets/d/11923uPwbBZFjjGgGUA6NLw09EwE0CqkOc4q9oUmW1yo/edit?usp=sharing"",""นครสวรรค์!J572"")"),0)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13817119</v>
      </c>
      <c r="M8" s="23">
        <f t="shared" ca="1" si="0"/>
        <v>11166884</v>
      </c>
      <c r="N8" s="23">
        <f t="shared" ca="1" si="0"/>
        <v>10908121.27</v>
      </c>
      <c r="O8" s="22">
        <f t="shared" ref="O8:O16" ca="1" si="1">IF(L8&gt;0,N8*100/L8,0)</f>
        <v>78.946423418659123</v>
      </c>
      <c r="P8" s="22">
        <f t="shared" ref="P8:P16" ca="1" si="2">IF(M8&gt;0,N8*100/M8,0)</f>
        <v>97.682766920476652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13817119</v>
      </c>
      <c r="M10" s="30">
        <f t="shared" ca="1" si="4"/>
        <v>11166884</v>
      </c>
      <c r="N10" s="30">
        <f t="shared" ca="1" si="4"/>
        <v>10908121.27</v>
      </c>
      <c r="O10" s="29">
        <f t="shared" ca="1" si="1"/>
        <v>78.946423418659123</v>
      </c>
      <c r="P10" s="29">
        <f t="shared" ca="1" si="2"/>
        <v>97.682766920476652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6566219</v>
      </c>
      <c r="M12" s="39">
        <f t="shared" ca="1" si="6"/>
        <v>3915984</v>
      </c>
      <c r="N12" s="39">
        <f t="shared" ca="1" si="6"/>
        <v>3893521.27</v>
      </c>
      <c r="O12" s="39">
        <f t="shared" ca="1" si="1"/>
        <v>59.29624445971114</v>
      </c>
      <c r="P12" s="39">
        <f t="shared" ca="1" si="2"/>
        <v>99.426383509227819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1874000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4692219</v>
      </c>
      <c r="M14" s="39">
        <f t="shared" si="8"/>
        <v>0</v>
      </c>
      <c r="N14" s="39">
        <f t="shared" ca="1" si="8"/>
        <v>898843</v>
      </c>
      <c r="O14" s="39">
        <f t="shared" ca="1" si="1"/>
        <v>19.156032572222227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7250900</v>
      </c>
      <c r="M16" s="39">
        <f t="shared" ca="1" si="10"/>
        <v>7250900</v>
      </c>
      <c r="N16" s="39">
        <f t="shared" ca="1" si="10"/>
        <v>7014600</v>
      </c>
      <c r="O16" s="50">
        <f t="shared" ca="1" si="1"/>
        <v>96.741094208994753</v>
      </c>
      <c r="P16" s="50">
        <f t="shared" ca="1" si="2"/>
        <v>96.741094208994753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11037025</v>
      </c>
      <c r="M18" s="23">
        <f t="shared" ca="1" si="11"/>
        <v>11166884</v>
      </c>
      <c r="N18" s="23">
        <f t="shared" ca="1" si="11"/>
        <v>10009278.27</v>
      </c>
      <c r="O18" s="22">
        <f t="shared" ref="O18:O20" ca="1" si="12">IF(L18&gt;0,N18*100/L18,0)</f>
        <v>90.688190612959559</v>
      </c>
      <c r="P18" s="22">
        <f t="shared" ref="P18:P26" ca="1" si="13">IF(M18&gt;0,N18*100/M18,0)</f>
        <v>89.633583280707498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11037025</v>
      </c>
      <c r="M20" s="30">
        <f t="shared" ca="1" si="15"/>
        <v>11166884</v>
      </c>
      <c r="N20" s="30">
        <f t="shared" ca="1" si="15"/>
        <v>10009278.27</v>
      </c>
      <c r="O20" s="29">
        <f t="shared" ca="1" si="12"/>
        <v>90.688190612959559</v>
      </c>
      <c r="P20" s="29">
        <f t="shared" ca="1" si="13"/>
        <v>89.633583280707498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3786125</v>
      </c>
      <c r="M22" s="42">
        <f t="shared" ca="1" si="18"/>
        <v>3915984</v>
      </c>
      <c r="N22" s="39">
        <f t="shared" ca="1" si="18"/>
        <v>2994678.27</v>
      </c>
      <c r="O22" s="39">
        <f t="shared" ca="1" si="17"/>
        <v>79.096127835187687</v>
      </c>
      <c r="P22" s="39">
        <f t="shared" ca="1" si="13"/>
        <v>76.473199839427338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1874000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1912125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7250900</v>
      </c>
      <c r="M26" s="50">
        <f t="shared" ca="1" si="22"/>
        <v>7250900</v>
      </c>
      <c r="N26" s="50">
        <f t="shared" ca="1" si="22"/>
        <v>7014600</v>
      </c>
      <c r="O26" s="50">
        <f t="shared" ca="1" si="17"/>
        <v>96.741094208994753</v>
      </c>
      <c r="P26" s="50">
        <f t="shared" ca="1" si="13"/>
        <v>96.741094208994753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2780094</v>
      </c>
      <c r="M28" s="23">
        <f t="shared" si="23"/>
        <v>0</v>
      </c>
      <c r="N28" s="23">
        <f t="shared" ca="1" si="23"/>
        <v>898843</v>
      </c>
      <c r="O28" s="22">
        <f t="shared" ref="O28:O30" ca="1" si="24">IF(L28&gt;0,N28*100/L28,0)</f>
        <v>32.331388794767371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2780094</v>
      </c>
      <c r="M30" s="30">
        <f t="shared" si="27"/>
        <v>0</v>
      </c>
      <c r="N30" s="30">
        <f t="shared" ca="1" si="27"/>
        <v>898843</v>
      </c>
      <c r="O30" s="29">
        <f t="shared" ca="1" si="24"/>
        <v>32.331388794767371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2780094</v>
      </c>
      <c r="M32" s="39">
        <f t="shared" si="30"/>
        <v>0</v>
      </c>
      <c r="N32" s="39">
        <f t="shared" ca="1" si="30"/>
        <v>898843</v>
      </c>
      <c r="O32" s="39">
        <f t="shared" ca="1" si="29"/>
        <v>32.331388794767371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2780094</v>
      </c>
      <c r="M34" s="39">
        <f t="shared" si="32"/>
        <v>0</v>
      </c>
      <c r="N34" s="39">
        <f t="shared" ca="1" si="32"/>
        <v>898843</v>
      </c>
      <c r="O34" s="39">
        <f t="shared" ca="1" si="29"/>
        <v>32.331388794767371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11037025</v>
      </c>
      <c r="M37" s="55">
        <f t="shared" ca="1" si="33"/>
        <v>11166884</v>
      </c>
      <c r="N37" s="55">
        <f t="shared" ca="1" si="33"/>
        <v>10009278.27</v>
      </c>
      <c r="O37" s="56">
        <f t="shared" ca="1" si="29"/>
        <v>90.688190612959559</v>
      </c>
      <c r="P37" s="56">
        <f t="shared" ca="1" si="25"/>
        <v>89.633583280707498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7500800</v>
      </c>
      <c r="M41" s="79">
        <f t="shared" ca="1" si="34"/>
        <v>7500800</v>
      </c>
      <c r="N41" s="79">
        <f t="shared" ca="1" si="34"/>
        <v>7099155.8499999996</v>
      </c>
      <c r="O41" s="78">
        <f t="shared" ref="O41:O43" ca="1" si="35">IF(L41&gt;0,N41*100/L41,0)</f>
        <v>94.645315832977815</v>
      </c>
      <c r="P41" s="78">
        <f t="shared" ref="P41:P43" ca="1" si="36">IF(M41&gt;0,N41*100/M41,0)</f>
        <v>94.645315832977815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7500800</v>
      </c>
      <c r="M43" s="79">
        <f t="shared" ca="1" si="38"/>
        <v>7500800</v>
      </c>
      <c r="N43" s="79">
        <f t="shared" ca="1" si="38"/>
        <v>7099155.8499999996</v>
      </c>
      <c r="O43" s="78">
        <f t="shared" ca="1" si="35"/>
        <v>94.645315832977815</v>
      </c>
      <c r="P43" s="78">
        <f t="shared" ca="1" si="36"/>
        <v>94.645315832977815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740500</v>
      </c>
      <c r="M45" s="50">
        <f ca="1">IFERROR(__xludf.DUMMYFUNCTION("IMPORTRANGE(""https://docs.google.com/spreadsheets/d/1Yj_ptqi66GCucihVvJfMjLAmec39IyEx_6qawtMGysU/edit?usp=sharing"",""สบก!Q25"")"),740500)</f>
        <v>740500</v>
      </c>
      <c r="N45" s="50">
        <f ca="1">IFERROR(__xludf.DUMMYFUNCTION("IMPORTRANGE(""https://docs.google.com/spreadsheets/d/1Yj_ptqi66GCucihVvJfMjLAmec39IyEx_6qawtMGysU/edit?usp=sharing"",""สบก!R25"")"),575155.85)</f>
        <v>575155.85</v>
      </c>
      <c r="O45" s="39">
        <f ca="1">IF(L45&gt;0,N45*100/L45,0)</f>
        <v>77.671282916948002</v>
      </c>
      <c r="P45" s="39">
        <f ca="1">IF(M45&gt;0,N45*100/M45,0)</f>
        <v>77.671282916948002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IFERROR(__xludf.DUMMYFUNCTION("IMPORTRANGE(""https://docs.google.com/spreadsheets/d/1Yj_ptqi66GCucihVvJfMjLAmec39IyEx_6qawtMGysU/edit?usp=sharing"",""สบก!M25"")"),740500)</f>
        <v>740500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IFERROR(__xludf.DUMMYFUNCTION("IMPORTRANGE(""https://docs.google.com/spreadsheets/d/1Yj_ptqi66GCucihVvJfMjLAmec39IyEx_6qawtMGysU/edit?usp=sharing"",""สบก!O25"")"),6760300)</f>
        <v>6760300</v>
      </c>
      <c r="M49" s="50">
        <f ca="1">L49</f>
        <v>6760300</v>
      </c>
      <c r="N49" s="50">
        <f ca="1">IFERROR(__xludf.DUMMYFUNCTION("IMPORTRANGE(""https://docs.google.com/spreadsheets/d/1Yj_ptqi66GCucihVvJfMjLAmec39IyEx_6qawtMGysU/edit?usp=sharing"",""สบก!S25"")"),6524000)</f>
        <v>6524000</v>
      </c>
      <c r="O49" s="50">
        <f ca="1">IF(L49&gt;0,N49*100/L49,0)</f>
        <v>96.504592991435288</v>
      </c>
      <c r="P49" s="50">
        <f ca="1">IF(M49&gt;0,N49*100/M49,0)</f>
        <v>96.504592991435288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407139</v>
      </c>
      <c r="N53" s="121">
        <f t="shared" ca="1" si="39"/>
        <v>404038</v>
      </c>
      <c r="O53" s="120">
        <f t="shared" ref="O53:O55" ca="1" si="40">IF(L53&gt;0,N53*100/L53,0)</f>
        <v>101.0095</v>
      </c>
      <c r="P53" s="120">
        <f t="shared" ref="P53:P55" ca="1" si="41">IF(M53&gt;0,N53*100/M53,0)</f>
        <v>99.238343661501361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407139</v>
      </c>
      <c r="N55" s="121">
        <f t="shared" ca="1" si="43"/>
        <v>404038</v>
      </c>
      <c r="O55" s="120">
        <f t="shared" ca="1" si="40"/>
        <v>101.0095</v>
      </c>
      <c r="P55" s="120">
        <f t="shared" ca="1" si="41"/>
        <v>99.238343661501361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400000</v>
      </c>
      <c r="M57" s="50">
        <f ca="1">IFERROR(__xludf.DUMMYFUNCTION("IMPORTRANGE(""https://docs.google.com/spreadsheets/d/1Yj_ptqi66GCucihVvJfMjLAmec39IyEx_6qawtMGysU/edit?usp=sharing"",""สบก!Z25"")"),407139)</f>
        <v>407139</v>
      </c>
      <c r="N57" s="50">
        <f ca="1">IFERROR(__xludf.DUMMYFUNCTION("IMPORTRANGE(""https://docs.google.com/spreadsheets/d/1Yj_ptqi66GCucihVvJfMjLAmec39IyEx_6qawtMGysU/edit?usp=sharing"",""สบก!AA25"")"),404038)</f>
        <v>404038</v>
      </c>
      <c r="O57" s="39">
        <f ca="1">IF(L57&gt;0,N57*100/L57,0)</f>
        <v>101.0095</v>
      </c>
      <c r="P57" s="39">
        <f ca="1">IF(M57&gt;0,N57*100/M57,0)</f>
        <v>99.238343661501361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IFERROR(__xludf.DUMMYFUNCTION("IMPORTRANGE(""https://docs.google.com/spreadsheets/d/1Yj_ptqi66GCucihVvJfMjLAmec39IyEx_6qawtMGysU/edit?usp=sharing"",""สบก!V25"")"),400000)</f>
        <v>400000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937200</v>
      </c>
      <c r="M66" s="152">
        <f t="shared" ca="1" si="45"/>
        <v>963820</v>
      </c>
      <c r="N66" s="152">
        <f t="shared" ca="1" si="45"/>
        <v>863423.9</v>
      </c>
      <c r="O66" s="151">
        <f t="shared" ref="O66:O68" ca="1" si="46">IF(L66&gt;0,N66*100/L66,0)</f>
        <v>92.1280303030303</v>
      </c>
      <c r="P66" s="151">
        <f t="shared" ref="P66:P68" ca="1" si="47">IF(M66&gt;0,N66*100/M66,0)</f>
        <v>89.583521819426863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937200</v>
      </c>
      <c r="M68" s="88">
        <f t="shared" ca="1" si="49"/>
        <v>963820</v>
      </c>
      <c r="N68" s="88">
        <f t="shared" ca="1" si="49"/>
        <v>863423.9</v>
      </c>
      <c r="O68" s="156">
        <f t="shared" ca="1" si="46"/>
        <v>92.1280303030303</v>
      </c>
      <c r="P68" s="156">
        <f t="shared" ca="1" si="47"/>
        <v>89.583521819426863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IFERROR(__xludf.DUMMYFUNCTION("IMPORTRANGE(""https://docs.google.com/spreadsheets/d/1Yj_ptqi66GCucihVvJfMjLAmec39IyEx_6qawtMGysU/edit?usp=sharing"",""สบก!AI25"")"),580220)</f>
        <v>580220</v>
      </c>
      <c r="N70" s="168">
        <f ca="1">IFERROR(__xludf.DUMMYFUNCTION("IMPORTRANGE(""https://docs.google.com/spreadsheets/d/1Yj_ptqi66GCucihVvJfMjLAmec39IyEx_6qawtMGysU/edit?usp=sharing"",""สบก!AJ25"")"),479823.9)</f>
        <v>479823.9</v>
      </c>
      <c r="O70" s="168">
        <f ca="1">IF(L70&gt;0,N70*100/L70,0)</f>
        <v>86.673392341040469</v>
      </c>
      <c r="P70" s="168">
        <f ca="1">IF(M70&gt;0,N70*100/M70,0)</f>
        <v>82.696890834511052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261100</v>
      </c>
      <c r="N94" s="152">
        <f t="shared" ca="1" si="52"/>
        <v>210837</v>
      </c>
      <c r="O94" s="151">
        <f t="shared" ref="O94:O96" ca="1" si="53">IF(L94&gt;0,N94*100/L94,0)</f>
        <v>98.475945819710418</v>
      </c>
      <c r="P94" s="151">
        <f t="shared" ref="P94:P96" ca="1" si="54">IF(M94&gt;0,N94*100/M94,0)</f>
        <v>80.749521256223673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214100</v>
      </c>
      <c r="M96" s="88">
        <f t="shared" ca="1" si="56"/>
        <v>261100</v>
      </c>
      <c r="N96" s="88">
        <f t="shared" ca="1" si="56"/>
        <v>210837</v>
      </c>
      <c r="O96" s="156">
        <f t="shared" ca="1" si="53"/>
        <v>98.475945819710418</v>
      </c>
      <c r="P96" s="156">
        <f t="shared" ca="1" si="54"/>
        <v>80.749521256223673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IFERROR(__xludf.DUMMYFUNCTION("IMPORTRANGE(""https://docs.google.com/spreadsheets/d/1Yj_ptqi66GCucihVvJfMjLAmec39IyEx_6qawtMGysU/edit?usp=sharing"",""สบก!AR25"")"),169100)</f>
        <v>169100</v>
      </c>
      <c r="N98" s="168">
        <f ca="1">IFERROR(__xludf.DUMMYFUNCTION("IMPORTRANGE(""https://docs.google.com/spreadsheets/d/1Yj_ptqi66GCucihVvJfMjLAmec39IyEx_6qawtMGysU/edit?usp=sharing"",""สบก!AS25"")"),118837)</f>
        <v>118837</v>
      </c>
      <c r="O98" s="168">
        <f ca="1">IF(L98&gt;0,N98*100/L98,0)</f>
        <v>97.327600327600322</v>
      </c>
      <c r="P98" s="168">
        <f ca="1">IF(M98&gt;0,N98*100/M98,0)</f>
        <v>70.276167947959792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941250</v>
      </c>
      <c r="M140" s="152">
        <f t="shared" ca="1" si="64"/>
        <v>949250</v>
      </c>
      <c r="N140" s="152">
        <f t="shared" ca="1" si="64"/>
        <v>707798.52</v>
      </c>
      <c r="O140" s="151">
        <f t="shared" ref="O140:O142" ca="1" si="65">IF(L140&gt;0,N140*100/L140,0)</f>
        <v>75.197717928286849</v>
      </c>
      <c r="P140" s="151">
        <f t="shared" ref="P140:P142" ca="1" si="66">IF(M140&gt;0,N140*100/M140,0)</f>
        <v>74.563973663418494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941250</v>
      </c>
      <c r="M142" s="88">
        <f t="shared" ca="1" si="68"/>
        <v>949250</v>
      </c>
      <c r="N142" s="88">
        <f t="shared" ca="1" si="68"/>
        <v>707798.52</v>
      </c>
      <c r="O142" s="156">
        <f t="shared" ca="1" si="65"/>
        <v>75.197717928286849</v>
      </c>
      <c r="P142" s="156">
        <f t="shared" ca="1" si="66"/>
        <v>74.563973663418494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941250</v>
      </c>
      <c r="M144" s="167">
        <f ca="1">IFERROR(__xludf.DUMMYFUNCTION("IMPORTRANGE(""https://docs.google.com/spreadsheets/d/1Yj_ptqi66GCucihVvJfMjLAmec39IyEx_6qawtMGysU/edit?usp=sharing"",""สบก!BJ25"")"),949250)</f>
        <v>949250</v>
      </c>
      <c r="N144" s="168">
        <f ca="1">IFERROR(__xludf.DUMMYFUNCTION("IMPORTRANGE(""https://docs.google.com/spreadsheets/d/1Yj_ptqi66GCucihVvJfMjLAmec39IyEx_6qawtMGysU/edit?usp=sharing"",""สบก!BK25"")"),707798.52)</f>
        <v>707798.52</v>
      </c>
      <c r="O144" s="168">
        <f ca="1">IF(L144&gt;0,N144*100/L144,0)</f>
        <v>75.197717928286849</v>
      </c>
      <c r="P144" s="168">
        <f ca="1">IF(M144&gt;0,N144*100/M144,0)</f>
        <v>74.563973663418494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IFERROR(__xludf.DUMMYFUNCTION("IMPORTRANGE(""https://docs.google.com/spreadsheets/d/1Yj_ptqi66GCucihVvJfMjLAmec39IyEx_6qawtMGysU/edit?usp=sharing"",""สบก!BG25"")"),625350)</f>
        <v>625350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IFERROR(__xludf.DUMMYFUNCTION("IMPORTRANGE(""https://docs.google.com/spreadsheets/d/11923uPwbBZFjjGgGUA6NLw09EwE0CqkOc4q9oUmW1yo/edit?usp=sharing"",""น่าน!J84"")"),197)</f>
        <v>197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IFERROR(__xludf.DUMMYFUNCTION("IMPORTRANGE(""https://docs.google.com/spreadsheets/d/11923uPwbBZFjjGgGUA6NLw09EwE0CqkOc4q9oUmW1yo/edit?usp=sharing"",""น่าน!J85"")"),197)</f>
        <v>197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IFERROR(__xludf.DUMMYFUNCTION("IMPORTRANGE(""https://docs.google.com/spreadsheets/d/11923uPwbBZFjjGgGUA6NLw09EwE0CqkOc4q9oUmW1yo/edit?usp=sharing"",""น่าน!J140"")"),90)</f>
        <v>90</v>
      </c>
      <c r="K215" s="224">
        <f t="shared" ref="K215:K216" ca="1" si="71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IFERROR(__xludf.DUMMYFUNCTION("IMPORTRANGE(""https://docs.google.com/spreadsheets/d/11923uPwbBZFjjGgGUA6NLw09EwE0CqkOc4q9oUmW1yo/edit?usp=sharing"",""น่าน!J141"")"),4)</f>
        <v>4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IFERROR(__xludf.DUMMYFUNCTION("IMPORTRANGE(""https://docs.google.com/spreadsheets/d/1Yj_ptqi66GCucihVvJfMjLAmec39IyEx_6qawtMGysU/edit?usp=sharing"",""สบก!CK25"")"),55200)</f>
        <v>55200</v>
      </c>
      <c r="N275" s="168">
        <f ca="1">IFERROR(__xludf.DUMMYFUNCTION("IMPORTRANGE(""https://docs.google.com/spreadsheets/d/1Yj_ptqi66GCucihVvJfMjLAmec39IyEx_6qawtMGysU/edit?usp=sharing"",""สบก!CL25"")"),32250)</f>
        <v>32250</v>
      </c>
      <c r="O275" s="168">
        <f ca="1">IF(L275&gt;0,N275*100/L275,0)</f>
        <v>58.423913043478258</v>
      </c>
      <c r="P275" s="168">
        <f ca="1">IF(M275&gt;0,N275*100/M275,0)</f>
        <v>58.423913043478258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IFERROR(__xludf.DUMMYFUNCTION("IMPORTRANGE(""https://docs.google.com/spreadsheets/d/11923uPwbBZFjjGgGUA6NLw09EwE0CqkOc4q9oUmW1yo/edit?usp=sharing"",""น่าน!J228"")"),636)</f>
        <v>636</v>
      </c>
      <c r="K328" s="317">
        <f ca="1">IF(I328&gt;0,J328*100/I328,0)</f>
        <v>79.5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967350</v>
      </c>
      <c r="M329" s="152">
        <f t="shared" ca="1" si="98"/>
        <v>1008450</v>
      </c>
      <c r="N329" s="152">
        <f t="shared" ca="1" si="98"/>
        <v>670650</v>
      </c>
      <c r="O329" s="151">
        <f t="shared" ref="O329:O331" ca="1" si="99">IF(L329&gt;0,N329*100/L329,0)</f>
        <v>69.328578074120017</v>
      </c>
      <c r="P329" s="151">
        <f t="shared" ref="P329:P331" ca="1" si="100">IF(M329&gt;0,N329*100/M329,0)</f>
        <v>66.503049233972931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967350</v>
      </c>
      <c r="M331" s="88">
        <f t="shared" ca="1" si="102"/>
        <v>1008450</v>
      </c>
      <c r="N331" s="88">
        <f t="shared" ca="1" si="102"/>
        <v>670650</v>
      </c>
      <c r="O331" s="156">
        <f t="shared" ca="1" si="99"/>
        <v>69.328578074120017</v>
      </c>
      <c r="P331" s="156">
        <f t="shared" ca="1" si="100"/>
        <v>66.503049233972931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952350</v>
      </c>
      <c r="M333" s="167">
        <f ca="1">IFERROR(__xludf.DUMMYFUNCTION("IMPORTRANGE(""https://docs.google.com/spreadsheets/d/1Yj_ptqi66GCucihVvJfMjLAmec39IyEx_6qawtMGysU/edit?usp=sharing"",""สบก!DL25"")"),993450)</f>
        <v>993450</v>
      </c>
      <c r="N333" s="168">
        <f ca="1">IFERROR(__xludf.DUMMYFUNCTION("IMPORTRANGE(""https://docs.google.com/spreadsheets/d/1Yj_ptqi66GCucihVvJfMjLAmec39IyEx_6qawtMGysU/edit?usp=sharing"",""สบก!DM25"")"),655650)</f>
        <v>655650</v>
      </c>
      <c r="O333" s="168">
        <f ca="1">IF(L333&gt;0,N333*100/L333,0)</f>
        <v>68.845487478343045</v>
      </c>
      <c r="P333" s="168">
        <f ca="1">IF(M333&gt;0,N333*100/M333,0)</f>
        <v>65.997282198399517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IFERROR(__xludf.DUMMYFUNCTION("IMPORTRANGE(""https://docs.google.com/spreadsheets/d/1Yj_ptqi66GCucihVvJfMjLAmec39IyEx_6qawtMGysU/edit?usp=sharing"",""สบก!DI25"")"),534750)</f>
        <v>534750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IFERROR(__xludf.DUMMYFUNCTION("IMPORTRANGE(""https://docs.google.com/spreadsheets/d/11923uPwbBZFjjGgGUA6NLw09EwE0CqkOc4q9oUmW1yo/edit?usp=sharing"",""น่าน!J234"")"),403)</f>
        <v>403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IFERROR(__xludf.DUMMYFUNCTION("IMPORTRANGE(""https://docs.google.com/spreadsheets/d/11923uPwbBZFjjGgGUA6NLw09EwE0CqkOc4q9oUmW1yo/edit?usp=sharing"",""น่าน!J235"")"),1350.11)</f>
        <v>1350.11</v>
      </c>
      <c r="K340" s="342">
        <f t="shared" ca="1" si="103"/>
        <v>67.505499999999998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IFERROR(__xludf.DUMMYFUNCTION("IMPORTRANGE(""https://docs.google.com/spreadsheets/d/11923uPwbBZFjjGgGUA6NLw09EwE0CqkOc4q9oUmW1yo/edit?usp=sharing"",""น่าน!J236"")"),693)</f>
        <v>693</v>
      </c>
      <c r="K341" s="342">
        <f t="shared" ca="1" si="103"/>
        <v>86.625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IFERROR(__xludf.DUMMYFUNCTION("IMPORTRANGE(""https://docs.google.com/spreadsheets/d/11923uPwbBZFjjGgGUA6NLw09EwE0CqkOc4q9oUmW1yo/edit?usp=sharing"",""น่าน!J237"")"),3394.52999999999)</f>
        <v>3394.5299999999902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IFERROR(__xludf.DUMMYFUNCTION("IMPORTRANGE(""https://docs.google.com/spreadsheets/d/11923uPwbBZFjjGgGUA6NLw09EwE0CqkOc4q9oUmW1yo/edit?usp=sharing"",""น่าน!J240"")"),636)</f>
        <v>636</v>
      </c>
      <c r="K345" s="342">
        <f t="shared" ca="1" si="103"/>
        <v>79.5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IFERROR(__xludf.DUMMYFUNCTION("IMPORTRANGE(""https://docs.google.com/spreadsheets/d/11923uPwbBZFjjGgGUA6NLw09EwE0CqkOc4q9oUmW1yo/edit?usp=sharing"",""น่าน!J241"")"),3243.86)</f>
        <v>3243.86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IFERROR(__xludf.DUMMYFUNCTION("IMPORTRANGE(""https://docs.google.com/spreadsheets/d/11923uPwbBZFjjGgGUA6NLw09EwE0CqkOc4q9oUmW1yo/edit?usp=sharing"",""น่าน!L242"")"),2780094)</f>
        <v>2780094</v>
      </c>
      <c r="M347" s="357"/>
      <c r="N347" s="357">
        <f ca="1">IFERROR(__xludf.DUMMYFUNCTION("IMPORTRANGE(""https://docs.google.com/spreadsheets/d/11923uPwbBZFjjGgGUA6NLw09EwE0CqkOc4q9oUmW1yo/edit?usp=sharing"",""น่าน!M242"")"),898843)</f>
        <v>898843</v>
      </c>
      <c r="O347" s="357">
        <f ca="1">+IF(L347&gt;0,N347*100/L347,0)</f>
        <v>32.331388794767371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IFERROR(__xludf.DUMMYFUNCTION("IMPORTRANGE(""https://docs.google.com/spreadsheets/d/11923uPwbBZFjjGgGUA6NLw09EwE0CqkOc4q9oUmW1yo/edit?usp=sharing"",""น่าน!M244"")"),155229)</f>
        <v>155229</v>
      </c>
      <c r="O349" s="372">
        <f ca="1">+IF(L349&gt;0,N349*100/L349,0)</f>
        <v>44.784916765240474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IFERROR(__xludf.DUMMYFUNCTION("IMPORTRANGE(""https://docs.google.com/spreadsheets/d/11923uPwbBZFjjGgGUA6NLw09EwE0CqkOc4q9oUmW1yo/edit?usp=sharing"",""น่าน!M247"")"),155229)</f>
        <v>155229</v>
      </c>
      <c r="O352" s="165">
        <f t="shared" ca="1" si="105"/>
        <v>44.784916765240474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IFERROR(__xludf.DUMMYFUNCTION("IMPORTRANGE(""https://docs.google.com/spreadsheets/d/11923uPwbBZFjjGgGUA6NLw09EwE0CqkOc4q9oUmW1yo/edit?usp=sharing"",""น่าน!M249"")"),155229)</f>
        <v>155229</v>
      </c>
      <c r="O354" s="168">
        <f t="shared" ca="1" si="105"/>
        <v>44.784916765240474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IFERROR(__xludf.DUMMYFUNCTION("IMPORTRANGE(""https://docs.google.com/spreadsheets/d/11923uPwbBZFjjGgGUA6NLw09EwE0CqkOc4q9oUmW1yo/edit?usp=sharing"",""น่าน!M252"")"),94449)</f>
        <v>94449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IFERROR(__xludf.DUMMYFUNCTION("IMPORTRANGE(""https://docs.google.com/spreadsheets/d/11923uPwbBZFjjGgGUA6NLw09EwE0CqkOc4q9oUmW1yo/edit?usp=sharing"",""น่าน!M253"")"),4680)</f>
        <v>4680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IFERROR(__xludf.DUMMYFUNCTION("IMPORTRANGE(""https://docs.google.com/spreadsheets/d/11923uPwbBZFjjGgGUA6NLw09EwE0CqkOc4q9oUmW1yo/edit?usp=sharing"",""น่าน!M275"")"),221848)</f>
        <v>221848</v>
      </c>
      <c r="O380" s="372">
        <f ca="1">+IF(L380&gt;0,N380*100/L380,0)</f>
        <v>21.569634037257419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IFERROR(__xludf.DUMMYFUNCTION("IMPORTRANGE(""https://docs.google.com/spreadsheets/d/11923uPwbBZFjjGgGUA6NLw09EwE0CqkOc4q9oUmW1yo/edit?usp=sharing"",""น่าน!M278"")"),221848)</f>
        <v>221848</v>
      </c>
      <c r="O383" s="165">
        <f t="shared" ca="1" si="109"/>
        <v>21.569634037257419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IFERROR(__xludf.DUMMYFUNCTION("IMPORTRANGE(""https://docs.google.com/spreadsheets/d/11923uPwbBZFjjGgGUA6NLw09EwE0CqkOc4q9oUmW1yo/edit?usp=sharing"",""น่าน!M280"")"),221848)</f>
        <v>221848</v>
      </c>
      <c r="O385" s="168">
        <f t="shared" ca="1" si="109"/>
        <v>21.569634037257419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IFERROR(__xludf.DUMMYFUNCTION("IMPORTRANGE(""https://docs.google.com/spreadsheets/d/11923uPwbBZFjjGgGUA6NLw09EwE0CqkOc4q9oUmW1yo/edit?usp=sharing"",""น่าน!M281"")"),124170)</f>
        <v>124170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IFERROR(__xludf.DUMMYFUNCTION("IMPORTRANGE(""https://docs.google.com/spreadsheets/d/11923uPwbBZFjjGgGUA6NLw09EwE0CqkOc4q9oUmW1yo/edit?usp=sharing"",""น่าน!M283"")"),93558)</f>
        <v>93558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IFERROR(__xludf.DUMMYFUNCTION("IMPORTRANGE(""https://docs.google.com/spreadsheets/d/11923uPwbBZFjjGgGUA6NLw09EwE0CqkOc4q9oUmW1yo/edit?usp=sharing"",""น่าน!M284"")"),4120)</f>
        <v>4120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IFERROR(__xludf.DUMMYFUNCTION("IMPORTRANGE(""https://docs.google.com/spreadsheets/d/11923uPwbBZFjjGgGUA6NLw09EwE0CqkOc4q9oUmW1yo/edit?usp=sharing"",""น่าน!M296"")"),104663)</f>
        <v>104663</v>
      </c>
      <c r="O401" s="372">
        <f ca="1">+IF(L401&gt;0,N401*100/L401,0)</f>
        <v>60.56886574074074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IFERROR(__xludf.DUMMYFUNCTION("IMPORTRANGE(""https://docs.google.com/spreadsheets/d/11923uPwbBZFjjGgGUA6NLw09EwE0CqkOc4q9oUmW1yo/edit?usp=sharing"",""น่าน!M299"")"),104663)</f>
        <v>104663</v>
      </c>
      <c r="O404" s="168">
        <f t="shared" ca="1" si="112"/>
        <v>60.56886574074074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IFERROR(__xludf.DUMMYFUNCTION("IMPORTRANGE(""https://docs.google.com/spreadsheets/d/11923uPwbBZFjjGgGUA6NLw09EwE0CqkOc4q9oUmW1yo/edit?usp=sharing"",""น่าน!M301"")"),104663)</f>
        <v>104663</v>
      </c>
      <c r="O406" s="168">
        <f t="shared" ca="1" si="112"/>
        <v>60.56886574074074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IFERROR(__xludf.DUMMYFUNCTION("IMPORTRANGE(""https://docs.google.com/spreadsheets/d/11923uPwbBZFjjGgGUA6NLw09EwE0CqkOc4q9oUmW1yo/edit?usp=sharing"",""น่าน!M302"")"),93943)</f>
        <v>93943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IFERROR(__xludf.DUMMYFUNCTION("IMPORTRANGE(""https://docs.google.com/spreadsheets/d/11923uPwbBZFjjGgGUA6NLw09EwE0CqkOc4q9oUmW1yo/edit?usp=sharing"",""น่าน!M305"")"),10720)</f>
        <v>10720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IFERROR(__xludf.DUMMYFUNCTION("IMPORTRANGE(""https://docs.google.com/spreadsheets/d/11923uPwbBZFjjGgGUA6NLw09EwE0CqkOc4q9oUmW1yo/edit?usp=sharing"",""น่าน!J316"")"),30)</f>
        <v>30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IFERROR(__xludf.DUMMYFUNCTION("IMPORTRANGE(""https://docs.google.com/spreadsheets/d/11923uPwbBZFjjGgGUA6NLw09EwE0CqkOc4q9oUmW1yo/edit?usp=sharing"",""น่าน!J317"")"),90)</f>
        <v>90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IFERROR(__xludf.DUMMYFUNCTION("IMPORTRANGE(""https://docs.google.com/spreadsheets/d/11923uPwbBZFjjGgGUA6NLw09EwE0CqkOc4q9oUmW1yo/edit?usp=sharing"",""น่าน!J320"")"),30)</f>
        <v>30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IFERROR(__xludf.DUMMYFUNCTION("IMPORTRANGE(""https://docs.google.com/spreadsheets/d/11923uPwbBZFjjGgGUA6NLw09EwE0CqkOc4q9oUmW1yo/edit?usp=sharing"",""น่าน!M330"")"),88040)</f>
        <v>88040</v>
      </c>
      <c r="O435" s="411">
        <f t="shared" ref="O435:O439" ca="1" si="114">+IF(L435&gt;0,N435*100/L435,0)</f>
        <v>68.354037267080741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IFERROR(__xludf.DUMMYFUNCTION("IMPORTRANGE(""https://docs.google.com/spreadsheets/d/11923uPwbBZFjjGgGUA6NLw09EwE0CqkOc4q9oUmW1yo/edit?usp=sharing"",""น่าน!M332"")"),88040)</f>
        <v>88040</v>
      </c>
      <c r="O437" s="168">
        <f t="shared" ca="1" si="114"/>
        <v>68.354037267080741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IFERROR(__xludf.DUMMYFUNCTION("IMPORTRANGE(""https://docs.google.com/spreadsheets/d/11923uPwbBZFjjGgGUA6NLw09EwE0CqkOc4q9oUmW1yo/edit?usp=sharing"",""น่าน!M334"")"),88040)</f>
        <v>88040</v>
      </c>
      <c r="O439" s="168">
        <f t="shared" ca="1" si="114"/>
        <v>68.354037267080741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IFERROR(__xludf.DUMMYFUNCTION("IMPORTRANGE(""https://docs.google.com/spreadsheets/d/11923uPwbBZFjjGgGUA6NLw09EwE0CqkOc4q9oUmW1yo/edit?usp=sharing"",""น่าน!M338"")"),10040)</f>
        <v>10040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IFERROR(__xludf.DUMMYFUNCTION("IMPORTRANGE(""https://docs.google.com/spreadsheets/d/11923uPwbBZFjjGgGUA6NLw09EwE0CqkOc4q9oUmW1yo/edit?usp=sharing"",""น่าน!J350"")"),56593.38)</f>
        <v>56593.38</v>
      </c>
      <c r="K455" s="371">
        <f ca="1">IF(I455&gt;0,J455*100/I455,0)</f>
        <v>100.04663496384818</v>
      </c>
      <c r="L455" s="372">
        <f ca="1">IFERROR(__xludf.DUMMYFUNCTION("IMPORTRANGE(""https://docs.google.com/spreadsheets/d/11923uPwbBZFjjGgGUA6NLw09EwE0CqkOc4q9oUmW1yo/edit?usp=sharing"",""น่าน!L350"")"),616854)</f>
        <v>616854</v>
      </c>
      <c r="M455" s="372"/>
      <c r="N455" s="372">
        <f ca="1">IFERROR(__xludf.DUMMYFUNCTION("IMPORTRANGE(""https://docs.google.com/spreadsheets/d/11923uPwbBZFjjGgGUA6NLw09EwE0CqkOc4q9oUmW1yo/edit?usp=sharing"",""น่าน!M350"")"),153827)</f>
        <v>153827</v>
      </c>
      <c r="O455" s="372">
        <f t="shared" ref="O455:O459" ca="1" si="116">+IF(L455&gt;0,N455*100/L455,0)</f>
        <v>24.937343358395989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IFERROR(__xludf.DUMMYFUNCTION("IMPORTRANGE(""https://docs.google.com/spreadsheets/d/11923uPwbBZFjjGgGUA6NLw09EwE0CqkOc4q9oUmW1yo/edit?usp=sharing"",""น่าน!L352"")"),616854)</f>
        <v>616854</v>
      </c>
      <c r="M457" s="165"/>
      <c r="N457" s="168">
        <f ca="1">IFERROR(__xludf.DUMMYFUNCTION("IMPORTRANGE(""https://docs.google.com/spreadsheets/d/11923uPwbBZFjjGgGUA6NLw09EwE0CqkOc4q9oUmW1yo/edit?usp=sharing"",""น่าน!M352"")"),153827)</f>
        <v>153827</v>
      </c>
      <c r="O457" s="168">
        <f t="shared" ca="1" si="116"/>
        <v>24.937343358395989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IFERROR(__xludf.DUMMYFUNCTION("IMPORTRANGE(""https://docs.google.com/spreadsheets/d/11923uPwbBZFjjGgGUA6NLw09EwE0CqkOc4q9oUmW1yo/edit?usp=sharing"",""น่าน!L354"")"),616854)</f>
        <v>616854</v>
      </c>
      <c r="M459" s="168"/>
      <c r="N459" s="168">
        <f ca="1">IFERROR(__xludf.DUMMYFUNCTION("IMPORTRANGE(""https://docs.google.com/spreadsheets/d/11923uPwbBZFjjGgGUA6NLw09EwE0CqkOc4q9oUmW1yo/edit?usp=sharing"",""น่าน!M354"")"),153827)</f>
        <v>153827</v>
      </c>
      <c r="O459" s="168">
        <f t="shared" ca="1" si="116"/>
        <v>24.937343358395989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IFERROR(__xludf.DUMMYFUNCTION("IMPORTRANGE(""https://docs.google.com/spreadsheets/d/11923uPwbBZFjjGgGUA6NLw09EwE0CqkOc4q9oUmW1yo/edit?usp=sharing"",""น่าน!M357"")"),83957)</f>
        <v>83957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IFERROR(__xludf.DUMMYFUNCTION("IMPORTRANGE(""https://docs.google.com/spreadsheets/d/11923uPwbBZFjjGgGUA6NLw09EwE0CqkOc4q9oUmW1yo/edit?usp=sharing"",""น่าน!M358"")"),69870)</f>
        <v>69870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IFERROR(__xludf.DUMMYFUNCTION("IMPORTRANGE(""https://docs.google.com/spreadsheets/d/11923uPwbBZFjjGgGUA6NLw09EwE0CqkOc4q9oUmW1yo/edit?usp=sharing"",""น่าน!J359"")"),56593.38)</f>
        <v>56593.38</v>
      </c>
      <c r="K464" s="268">
        <f t="shared" ref="K464:K515" ca="1" si="117">IF(I464&gt;0,J464*100/I464,0)</f>
        <v>100.04663496384818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IFERROR(__xludf.DUMMYFUNCTION("IMPORTRANGE(""https://docs.google.com/spreadsheets/d/11923uPwbBZFjjGgGUA6NLw09EwE0CqkOc4q9oUmW1yo/edit?usp=sharing"",""น่าน!J376"")"),56593.38)</f>
        <v>56593.38</v>
      </c>
      <c r="K481" s="201">
        <f t="shared" ca="1" si="117"/>
        <v>100.04663496384818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IFERROR(__xludf.DUMMYFUNCTION("IMPORTRANGE(""https://docs.google.com/spreadsheets/d/11923uPwbBZFjjGgGUA6NLw09EwE0CqkOc4q9oUmW1yo/edit?usp=sharing"",""น่าน!J378"")"),54263)</f>
        <v>54263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IFERROR(__xludf.DUMMYFUNCTION("IMPORTRANGE(""https://docs.google.com/spreadsheets/d/11923uPwbBZFjjGgGUA6NLw09EwE0CqkOc4q9oUmW1yo/edit?usp=sharing"",""น่าน!J379"")"),8784)</f>
        <v>8784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IFERROR(__xludf.DUMMYFUNCTION("IMPORTRANGE(""https://docs.google.com/spreadsheets/d/11923uPwbBZFjjGgGUA6NLw09EwE0CqkOc4q9oUmW1yo/edit?usp=sharing"",""น่าน!J380"")"),1748.72)</f>
        <v>1748.72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IFERROR(__xludf.DUMMYFUNCTION("IMPORTRANGE(""https://docs.google.com/spreadsheets/d/11923uPwbBZFjjGgGUA6NLw09EwE0CqkOc4q9oUmW1yo/edit?usp=sharing"",""น่าน!J381"")"),186)</f>
        <v>186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IFERROR(__xludf.DUMMYFUNCTION("IMPORTRANGE(""https://docs.google.com/spreadsheets/d/11923uPwbBZFjjGgGUA6NLw09EwE0CqkOc4q9oUmW1yo/edit?usp=sharing"",""น่าน!J382"")"),581.66)</f>
        <v>581.66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IFERROR(__xludf.DUMMYFUNCTION("IMPORTRANGE(""https://docs.google.com/spreadsheets/d/11923uPwbBZFjjGgGUA6NLw09EwE0CqkOc4q9oUmW1yo/edit?usp=sharing"",""น่าน!J384"")"),554.17)</f>
        <v>554.16999999999996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IFERROR(__xludf.DUMMYFUNCTION("IMPORTRANGE(""https://docs.google.com/spreadsheets/d/11923uPwbBZFjjGgGUA6NLw09EwE0CqkOc4q9oUmW1yo/edit?usp=sharing"",""น่าน!J385"")"),103)</f>
        <v>103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IFERROR(__xludf.DUMMYFUNCTION("IMPORTRANGE(""https://docs.google.com/spreadsheets/d/11923uPwbBZFjjGgGUA6NLw09EwE0CqkOc4q9oUmW1yo/edit?usp=sharing"",""น่าน!J386"")"),27.49)</f>
        <v>27.49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IFERROR(__xludf.DUMMYFUNCTION("IMPORTRANGE(""https://docs.google.com/spreadsheets/d/11923uPwbBZFjjGgGUA6NLw09EwE0CqkOc4q9oUmW1yo/edit?usp=sharing"",""น่าน!J387"")"),4)</f>
        <v>4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IFERROR(__xludf.DUMMYFUNCTION("IMPORTRANGE(""https://docs.google.com/spreadsheets/d/11923uPwbBZFjjGgGUA6NLw09EwE0CqkOc4q9oUmW1yo/edit?usp=sharing"",""น่าน!M428"")"),26076)</f>
        <v>26076</v>
      </c>
      <c r="O533" s="411">
        <f t="shared" ref="O533:O537" ca="1" si="118">+IF(L533&gt;0,N533*100/L533,0)</f>
        <v>75.934769947582993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IFERROR(__xludf.DUMMYFUNCTION("IMPORTRANGE(""https://docs.google.com/spreadsheets/d/11923uPwbBZFjjGgGUA6NLw09EwE0CqkOc4q9oUmW1yo/edit?usp=sharing"",""น่าน!M430"")"),26076)</f>
        <v>26076</v>
      </c>
      <c r="O535" s="168">
        <f t="shared" ca="1" si="118"/>
        <v>75.934769947582993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IFERROR(__xludf.DUMMYFUNCTION("IMPORTRANGE(""https://docs.google.com/spreadsheets/d/11923uPwbBZFjjGgGUA6NLw09EwE0CqkOc4q9oUmW1yo/edit?usp=sharing"",""น่าน!M432"")"),26076)</f>
        <v>26076</v>
      </c>
      <c r="O537" s="168">
        <f t="shared" ca="1" si="118"/>
        <v>75.934769947582993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IFERROR(__xludf.DUMMYFUNCTION("IMPORTRANGE(""https://docs.google.com/spreadsheets/d/11923uPwbBZFjjGgGUA6NLw09EwE0CqkOc4q9oUmW1yo/edit?usp=sharing"",""น่าน!M436"")"),7110)</f>
        <v>7110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IFERROR(__xludf.DUMMYFUNCTION("IMPORTRANGE(""https://docs.google.com/spreadsheets/d/11923uPwbBZFjjGgGUA6NLw09EwE0CqkOc4q9oUmW1yo/edit?usp=sharing"",""น่าน!J459"")"),2126)</f>
        <v>2126</v>
      </c>
      <c r="K564" s="371">
        <f ca="1">IF(I564&gt;0,J564*100/I564,0)</f>
        <v>98.883720930232556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IFERROR(__xludf.DUMMYFUNCTION("IMPORTRANGE(""https://docs.google.com/spreadsheets/d/11923uPwbBZFjjGgGUA6NLw09EwE0CqkOc4q9oUmW1yo/edit?usp=sharing"",""น่าน!M459"")"),70990)</f>
        <v>70990</v>
      </c>
      <c r="O564" s="372">
        <f t="shared" ref="O564:O568" ca="1" si="122">+IF(L564&gt;0,N564*100/L564,0)</f>
        <v>49.026243093922652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IFERROR(__xludf.DUMMYFUNCTION("IMPORTRANGE(""https://docs.google.com/spreadsheets/d/11923uPwbBZFjjGgGUA6NLw09EwE0CqkOc4q9oUmW1yo/edit?usp=sharing"",""น่าน!M461"")"),70990)</f>
        <v>70990</v>
      </c>
      <c r="O566" s="168">
        <f t="shared" ca="1" si="122"/>
        <v>49.026243093922652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IFERROR(__xludf.DUMMYFUNCTION("IMPORTRANGE(""https://docs.google.com/spreadsheets/d/11923uPwbBZFjjGgGUA6NLw09EwE0CqkOc4q9oUmW1yo/edit?usp=sharing"",""น่าน!M463"")"),70990)</f>
        <v>70990</v>
      </c>
      <c r="O568" s="168">
        <f t="shared" ca="1" si="122"/>
        <v>49.026243093922652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IFERROR(__xludf.DUMMYFUNCTION("IMPORTRANGE(""https://docs.google.com/spreadsheets/d/11923uPwbBZFjjGgGUA6NLw09EwE0CqkOc4q9oUmW1yo/edit?usp=sharing"",""น่าน!M466"")"),67830)</f>
        <v>67830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IFERROR(__xludf.DUMMYFUNCTION("IMPORTRANGE(""https://docs.google.com/spreadsheets/d/11923uPwbBZFjjGgGUA6NLw09EwE0CqkOc4q9oUmW1yo/edit?usp=sharing"",""น่าน!M467"")"),3160)</f>
        <v>3160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IFERROR(__xludf.DUMMYFUNCTION("IMPORTRANGE(""https://docs.google.com/spreadsheets/d/11923uPwbBZFjjGgGUA6NLw09EwE0CqkOc4q9oUmW1yo/edit?usp=sharing"",""น่าน!J468"")"),2126)</f>
        <v>2126</v>
      </c>
      <c r="K573" s="201">
        <f ca="1">IF(I573&gt;0,J573*100/I573,0)</f>
        <v>98.883720930232556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IFERROR(__xludf.DUMMYFUNCTION("IMPORTRANGE(""https://docs.google.com/spreadsheets/d/11923uPwbBZFjjGgGUA6NLw09EwE0CqkOc4q9oUmW1yo/edit?usp=sharing"",""น่าน!J472"")"),1888)</f>
        <v>1888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IFERROR(__xludf.DUMMYFUNCTION("IMPORTRANGE(""https://docs.google.com/spreadsheets/d/11923uPwbBZFjjGgGUA6NLw09EwE0CqkOc4q9oUmW1yo/edit?usp=sharing"",""น่าน!J473"")"),40)</f>
        <v>40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IFERROR(__xludf.DUMMYFUNCTION("IMPORTRANGE(""https://docs.google.com/spreadsheets/d/11923uPwbBZFjjGgGUA6NLw09EwE0CqkOc4q9oUmW1yo/edit?usp=sharing"",""น่าน!J475"")"),5)</f>
        <v>5</v>
      </c>
      <c r="K580" s="371">
        <f ca="1">IF(I580&gt;0,J580*100/I580,0)</f>
        <v>7.1428571428571432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IFERROR(__xludf.DUMMYFUNCTION("IMPORTRANGE(""https://docs.google.com/spreadsheets/d/11923uPwbBZFjjGgGUA6NLw09EwE0CqkOc4q9oUmW1yo/edit?usp=sharing"",""น่าน!M475"")"),76370)</f>
        <v>76370</v>
      </c>
      <c r="O580" s="372">
        <f t="shared" ref="O580:O584" ca="1" si="124">+IF(L580&gt;0,N580*100/L580,0)</f>
        <v>25.587161188729187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IFERROR(__xludf.DUMMYFUNCTION("IMPORTRANGE(""https://docs.google.com/spreadsheets/d/11923uPwbBZFjjGgGUA6NLw09EwE0CqkOc4q9oUmW1yo/edit?usp=sharing"",""น่าน!M477"")"),76370)</f>
        <v>76370</v>
      </c>
      <c r="O582" s="168">
        <f t="shared" ca="1" si="124"/>
        <v>25.587161188729187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IFERROR(__xludf.DUMMYFUNCTION("IMPORTRANGE(""https://docs.google.com/spreadsheets/d/11923uPwbBZFjjGgGUA6NLw09EwE0CqkOc4q9oUmW1yo/edit?usp=sharing"",""น่าน!M479"")"),76370)</f>
        <v>76370</v>
      </c>
      <c r="O584" s="168">
        <f t="shared" ca="1" si="124"/>
        <v>25.587161188729187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IFERROR(__xludf.DUMMYFUNCTION("IMPORTRANGE(""https://docs.google.com/spreadsheets/d/11923uPwbBZFjjGgGUA6NLw09EwE0CqkOc4q9oUmW1yo/edit?usp=sharing"",""น่าน!M482"")"),73320)</f>
        <v>73320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IFERROR(__xludf.DUMMYFUNCTION("IMPORTRANGE(""https://docs.google.com/spreadsheets/d/11923uPwbBZFjjGgGUA6NLw09EwE0CqkOc4q9oUmW1yo/edit?usp=sharing"",""น่าน!M483"")"),3050)</f>
        <v>3050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IFERROR(__xludf.DUMMYFUNCTION("IMPORTRANGE(""https://docs.google.com/spreadsheets/d/11923uPwbBZFjjGgGUA6NLw09EwE0CqkOc4q9oUmW1yo/edit?usp=sharing"",""น่าน!J484"")"),58)</f>
        <v>58</v>
      </c>
      <c r="K589" s="163">
        <f t="shared" ref="K589:K596" ca="1" si="125">IF(I589&gt;0,J589*100/I589,0)</f>
        <v>82.857142857142861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IFERROR(__xludf.DUMMYFUNCTION("IMPORTRANGE(""https://docs.google.com/spreadsheets/d/11923uPwbBZFjjGgGUA6NLw09EwE0CqkOc4q9oUmW1yo/edit?usp=sharing"",""น่าน!J485"")"),20.86)</f>
        <v>20.86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IFERROR(__xludf.DUMMYFUNCTION("IMPORTRANGE(""https://docs.google.com/spreadsheets/d/11923uPwbBZFjjGgGUA6NLw09EwE0CqkOc4q9oUmW1yo/edit?usp=sharing"",""น่าน!J486"")"),58)</f>
        <v>58</v>
      </c>
      <c r="K591" s="163">
        <f t="shared" ca="1" si="125"/>
        <v>82.857142857142861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IFERROR(__xludf.DUMMYFUNCTION("IMPORTRANGE(""https://docs.google.com/spreadsheets/d/11923uPwbBZFjjGgGUA6NLw09EwE0CqkOc4q9oUmW1yo/edit?usp=sharing"",""น่าน!J487"")"),19.73)</f>
        <v>19.73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IFERROR(__xludf.DUMMYFUNCTION("IMPORTRANGE(""https://docs.google.com/spreadsheets/d/11923uPwbBZFjjGgGUA6NLw09EwE0CqkOc4q9oUmW1yo/edit?usp=sharing"",""น่าน!J490"")"),5)</f>
        <v>5</v>
      </c>
      <c r="K595" s="163">
        <f t="shared" ca="1" si="125"/>
        <v>7.1428571428571432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IFERROR(__xludf.DUMMYFUNCTION("IMPORTRANGE(""https://docs.google.com/spreadsheets/d/11923uPwbBZFjjGgGUA6NLw09EwE0CqkOc4q9oUmW1yo/edit?usp=sharing"",""น่าน!J491"")"),1.16)</f>
        <v>1.1599999999999999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8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IFERROR(__xludf.DUMMYFUNCTION("IMPORTRANGE(""https://docs.google.com/spreadsheets/d/11923uPwbBZFjjGgGUA6NLw09EwE0CqkOc4q9oUmW1yo/edit?usp=sharing"",""น่าน!L492"")"),8900)</f>
        <v>8900</v>
      </c>
      <c r="M597" s="411"/>
      <c r="N597" s="411">
        <f ca="1">IFERROR(__xludf.DUMMYFUNCTION("IMPORTRANGE(""https://docs.google.com/spreadsheets/d/11923uPwbBZFjjGgGUA6NLw09EwE0CqkOc4q9oUmW1yo/edit?usp=sharing"",""น่าน!M492"")"),1800)</f>
        <v>1800</v>
      </c>
      <c r="O597" s="411">
        <f t="shared" ref="O597:O601" ca="1" si="126">+IF(L597&gt;0,N597*100/L597,0)</f>
        <v>20.224719101123597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IFERROR(__xludf.DUMMYFUNCTION("IMPORTRANGE(""https://docs.google.com/spreadsheets/d/11923uPwbBZFjjGgGUA6NLw09EwE0CqkOc4q9oUmW1yo/edit?usp=sharing"",""น่าน!J523"")"),4148221.63)</f>
        <v>4148221.63</v>
      </c>
      <c r="K628" s="342">
        <f t="shared" ref="K628:K635" ca="1" si="129">IF(I628&gt;0,J628*100/I628,0)</f>
        <v>80.507916599954726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IFERROR(__xludf.DUMMYFUNCTION("IMPORTRANGE(""https://docs.google.com/spreadsheets/d/11923uPwbBZFjjGgGUA6NLw09EwE0CqkOc4q9oUmW1yo/edit?usp=sharing"",""น่าน!J524"")"),259)</f>
        <v>259</v>
      </c>
      <c r="K629" s="342">
        <f t="shared" ca="1" si="129"/>
        <v>79.204892966360859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IFERROR(__xludf.DUMMYFUNCTION("IMPORTRANGE(""https://docs.google.com/spreadsheets/d/11923uPwbBZFjjGgGUA6NLw09EwE0CqkOc4q9oUmW1yo/edit?usp=sharing"",""น่าน!J525"")"),467005.87)</f>
        <v>467005.87</v>
      </c>
      <c r="K630" s="342">
        <f t="shared" ca="1" si="129"/>
        <v>43.687167218706804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IFERROR(__xludf.DUMMYFUNCTION("IMPORTRANGE(""https://docs.google.com/spreadsheets/d/11923uPwbBZFjjGgGUA6NLw09EwE0CqkOc4q9oUmW1yo/edit?usp=sharing"",""น่าน!J526"")"),63)</f>
        <v>63</v>
      </c>
      <c r="K631" s="342">
        <f t="shared" ca="1" si="129"/>
        <v>92.647058823529406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IFERROR(__xludf.DUMMYFUNCTION("IMPORTRANGE(""https://docs.google.com/spreadsheets/d/11923uPwbBZFjjGgGUA6NLw09EwE0CqkOc4q9oUmW1yo/edit?usp=sharing"",""น่าน!J529"")"),3620000)</f>
        <v>3620000</v>
      </c>
      <c r="K634" s="342">
        <f t="shared" ca="1" si="129"/>
        <v>60.333333333333336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IFERROR(__xludf.DUMMYFUNCTION("IMPORTRANGE(""https://docs.google.com/spreadsheets/d/11923uPwbBZFjjGgGUA6NLw09EwE0CqkOc4q9oUmW1yo/edit?usp=sharing"",""น่าน!I530"")"),223)</f>
        <v>223</v>
      </c>
      <c r="J635" s="505">
        <f ca="1">IFERROR(__xludf.DUMMYFUNCTION("IMPORTRANGE(""https://docs.google.com/spreadsheets/d/11923uPwbBZFjjGgGUA6NLw09EwE0CqkOc4q9oUmW1yo/edit?usp=sharing"",""น่าน!J530"")"),86)</f>
        <v>86</v>
      </c>
      <c r="K635" s="487">
        <f t="shared" ca="1" si="129"/>
        <v>38.565022421524667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IFERROR(__xludf.DUMMYFUNCTION("IMPORTRANGE(""https://docs.google.com/spreadsheets/d/11923uPwbBZFjjGgGUA6NLw09EwE0CqkOc4q9oUmW1yo/edit?usp=sharing"",""น่าน!J541"")"),0)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IFERROR(__xludf.DUMMYFUNCTION("IMPORTRANGE(""https://docs.google.com/spreadsheets/d/11923uPwbBZFjjGgGUA6NLw09EwE0CqkOc4q9oUmW1yo/edit?usp=sharing"",""น่าน!J542"")"),0)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IFERROR(__xludf.DUMMYFUNCTION("IMPORTRANGE(""https://docs.google.com/spreadsheets/d/11923uPwbBZFjjGgGUA6NLw09EwE0CqkOc4q9oUmW1yo/edit?usp=sharing"",""น่าน!I543"")"),0)</f>
        <v>0</v>
      </c>
      <c r="J648" s="536">
        <f ca="1">IFERROR(__xludf.DUMMYFUNCTION("IMPORTRANGE(""https://docs.google.com/spreadsheets/d/11923uPwbBZFjjGgGUA6NLw09EwE0CqkOc4q9oUmW1yo/edit?usp=sharing"",""น่าน!J543"")"),0)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IFERROR(__xludf.DUMMYFUNCTION("IMPORTRANGE(""https://docs.google.com/spreadsheets/d/11923uPwbBZFjjGgGUA6NLw09EwE0CqkOc4q9oUmW1yo/edit?usp=sharing"",""น่าน!L543"")"),0)</f>
        <v>0</v>
      </c>
      <c r="M648" s="521"/>
      <c r="N648" s="538">
        <f ca="1">IFERROR(__xludf.DUMMYFUNCTION("IMPORTRANGE(""https://docs.google.com/spreadsheets/d/11923uPwbBZFjjGgGUA6NLw09EwE0CqkOc4q9oUmW1yo/edit?usp=sharing"",""น่าน!M543"")"),0)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IFERROR(__xludf.DUMMYFUNCTION("IMPORTRANGE(""https://docs.google.com/spreadsheets/d/11923uPwbBZFjjGgGUA6NLw09EwE0CqkOc4q9oUmW1yo/edit?usp=sharing"",""น่าน!I544"")"),0)</f>
        <v>0</v>
      </c>
      <c r="J649" s="536">
        <f ca="1">IFERROR(__xludf.DUMMYFUNCTION("IMPORTRANGE(""https://docs.google.com/spreadsheets/d/11923uPwbBZFjjGgGUA6NLw09EwE0CqkOc4q9oUmW1yo/edit?usp=sharing"",""น่าน!J544"")"),0)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IFERROR(__xludf.DUMMYFUNCTION("IMPORTRANGE(""https://docs.google.com/spreadsheets/d/11923uPwbBZFjjGgGUA6NLw09EwE0CqkOc4q9oUmW1yo/edit?usp=sharing"",""น่าน!L544"")"),0)</f>
        <v>0</v>
      </c>
      <c r="M649" s="521"/>
      <c r="N649" s="538">
        <f ca="1">IFERROR(__xludf.DUMMYFUNCTION("IMPORTRANGE(""https://docs.google.com/spreadsheets/d/11923uPwbBZFjjGgGUA6NLw09EwE0CqkOc4q9oUmW1yo/edit?usp=sharing"",""น่าน!M544"")"),0)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IFERROR(__xludf.DUMMYFUNCTION("IMPORTRANGE(""https://docs.google.com/spreadsheets/d/11923uPwbBZFjjGgGUA6NLw09EwE0CqkOc4q9oUmW1yo/edit?usp=sharing"",""น่าน!I545"")"),0)</f>
        <v>0</v>
      </c>
      <c r="J650" s="536">
        <f ca="1">IFERROR(__xludf.DUMMYFUNCTION("IMPORTRANGE(""https://docs.google.com/spreadsheets/d/11923uPwbBZFjjGgGUA6NLw09EwE0CqkOc4q9oUmW1yo/edit?usp=sharing"",""น่าน!J545"")"),0)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IFERROR(__xludf.DUMMYFUNCTION("IMPORTRANGE(""https://docs.google.com/spreadsheets/d/11923uPwbBZFjjGgGUA6NLw09EwE0CqkOc4q9oUmW1yo/edit?usp=sharing"",""น่าน!L545"")"),0)</f>
        <v>0</v>
      </c>
      <c r="M650" s="521"/>
      <c r="N650" s="538">
        <f ca="1">IFERROR(__xludf.DUMMYFUNCTION("IMPORTRANGE(""https://docs.google.com/spreadsheets/d/11923uPwbBZFjjGgGUA6NLw09EwE0CqkOc4q9oUmW1yo/edit?usp=sharing"",""น่าน!M545"")"),0)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IFERROR(__xludf.DUMMYFUNCTION("IMPORTRANGE(""https://docs.google.com/spreadsheets/d/11923uPwbBZFjjGgGUA6NLw09EwE0CqkOc4q9oUmW1yo/edit?usp=sharing"",""น่าน!I546"")"),0)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IFERROR(__xludf.DUMMYFUNCTION("IMPORTRANGE(""https://docs.google.com/spreadsheets/d/11923uPwbBZFjjGgGUA6NLw09EwE0CqkOc4q9oUmW1yo/edit?usp=sharing"",""น่าน!L546"")"),0)</f>
        <v>0</v>
      </c>
      <c r="M651" s="521"/>
      <c r="N651" s="538">
        <f ca="1">IFERROR(__xludf.DUMMYFUNCTION("IMPORTRANGE(""https://docs.google.com/spreadsheets/d/11923uPwbBZFjjGgGUA6NLw09EwE0CqkOc4q9oUmW1yo/edit?usp=sharing"",""น่าน!M546"")"),0)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IFERROR(__xludf.DUMMYFUNCTION("IMPORTRANGE(""https://docs.google.com/spreadsheets/d/11923uPwbBZFjjGgGUA6NLw09EwE0CqkOc4q9oUmW1yo/edit?usp=sharing"",""น่าน!J547"")"),0)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IFERROR(__xludf.DUMMYFUNCTION("IMPORTRANGE(""https://docs.google.com/spreadsheets/d/11923uPwbBZFjjGgGUA6NLw09EwE0CqkOc4q9oUmW1yo/edit?usp=sharing"",""น่าน!J548"")"),0)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IFERROR(__xludf.DUMMYFUNCTION("IMPORTRANGE(""https://docs.google.com/spreadsheets/d/11923uPwbBZFjjGgGUA6NLw09EwE0CqkOc4q9oUmW1yo/edit?usp=sharing"",""น่าน!J550"")"),0)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IFERROR(__xludf.DUMMYFUNCTION("IMPORTRANGE(""https://docs.google.com/spreadsheets/d/11923uPwbBZFjjGgGUA6NLw09EwE0CqkOc4q9oUmW1yo/edit?usp=sharing"",""น่าน!J551"")"),0)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IFERROR(__xludf.DUMMYFUNCTION("IMPORTRANGE(""https://docs.google.com/spreadsheets/d/11923uPwbBZFjjGgGUA6NLw09EwE0CqkOc4q9oUmW1yo/edit?usp=sharing"",""น่าน!J552"")"),0)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IFERROR(__xludf.DUMMYFUNCTION("IMPORTRANGE(""https://docs.google.com/spreadsheets/d/11923uPwbBZFjjGgGUA6NLw09EwE0CqkOc4q9oUmW1yo/edit?usp=sharing"",""น่าน!J553"")"),0)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IFERROR(__xludf.DUMMYFUNCTION("IMPORTRANGE(""https://docs.google.com/spreadsheets/d/11923uPwbBZFjjGgGUA6NLw09EwE0CqkOc4q9oUmW1yo/edit?usp=sharing"",""น่าน!J554"")"),0)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IFERROR(__xludf.DUMMYFUNCTION("IMPORTRANGE(""https://docs.google.com/spreadsheets/d/11923uPwbBZFjjGgGUA6NLw09EwE0CqkOc4q9oUmW1yo/edit?usp=sharing"",""น่าน!J555"")"),0)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IFERROR(__xludf.DUMMYFUNCTION("IMPORTRANGE(""https://docs.google.com/spreadsheets/d/11923uPwbBZFjjGgGUA6NLw09EwE0CqkOc4q9oUmW1yo/edit?usp=sharing"",""น่าน!J556"")"),0)</f>
        <v>0</v>
      </c>
      <c r="K661" s="537"/>
      <c r="L661" s="522">
        <f ca="1">IFERROR(__xludf.DUMMYFUNCTION("IMPORTRANGE(""https://docs.google.com/spreadsheets/d/11923uPwbBZFjjGgGUA6NLw09EwE0CqkOc4q9oUmW1yo/edit?usp=sharing"",""น่าน!L556"")"),0)</f>
        <v>0</v>
      </c>
      <c r="M661" s="521"/>
      <c r="N661" s="538">
        <f ca="1">IFERROR(__xludf.DUMMYFUNCTION("IMPORTRANGE(""https://docs.google.com/spreadsheets/d/11923uPwbBZFjjGgGUA6NLw09EwE0CqkOc4q9oUmW1yo/edit?usp=sharing"",""น่าน!M556"")"),0)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IFERROR(__xludf.DUMMYFUNCTION("IMPORTRANGE(""https://docs.google.com/spreadsheets/d/11923uPwbBZFjjGgGUA6NLw09EwE0CqkOc4q9oUmW1yo/edit?usp=sharing"",""น่าน!J557"")"),0)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IFERROR(__xludf.DUMMYFUNCTION("IMPORTRANGE(""https://docs.google.com/spreadsheets/d/11923uPwbBZFjjGgGUA6NLw09EwE0CqkOc4q9oUmW1yo/edit?usp=sharing"",""น่าน!I558"")"),0)</f>
        <v>0</v>
      </c>
      <c r="J663" s="536">
        <f ca="1">IFERROR(__xludf.DUMMYFUNCTION("IMPORTRANGE(""https://docs.google.com/spreadsheets/d/11923uPwbBZFjjGgGUA6NLw09EwE0CqkOc4q9oUmW1yo/edit?usp=sharing"",""น่าน!J558"")"),0)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IFERROR(__xludf.DUMMYFUNCTION("IMPORTRANGE(""https://docs.google.com/spreadsheets/d/11923uPwbBZFjjGgGUA6NLw09EwE0CqkOc4q9oUmW1yo/edit?usp=sharing"",""น่าน!I560"")"),0)</f>
        <v>0</v>
      </c>
      <c r="J665" s="536">
        <f ca="1">IFERROR(__xludf.DUMMYFUNCTION("IMPORTRANGE(""https://docs.google.com/spreadsheets/d/11923uPwbBZFjjGgGUA6NLw09EwE0CqkOc4q9oUmW1yo/edit?usp=sharing"",""น่าน!J560"")"),0)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IFERROR(__xludf.DUMMYFUNCTION("IMPORTRANGE(""https://docs.google.com/spreadsheets/d/11923uPwbBZFjjGgGUA6NLw09EwE0CqkOc4q9oUmW1yo/edit?usp=sharing"",""น่าน!L560"")"),0)</f>
        <v>0</v>
      </c>
      <c r="M665" s="521"/>
      <c r="N665" s="538">
        <f ca="1">IFERROR(__xludf.DUMMYFUNCTION("IMPORTRANGE(""https://docs.google.com/spreadsheets/d/11923uPwbBZFjjGgGUA6NLw09EwE0CqkOc4q9oUmW1yo/edit?usp=sharing"",""น่าน!M560"")"),0)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IFERROR(__xludf.DUMMYFUNCTION("IMPORTRANGE(""https://docs.google.com/spreadsheets/d/11923uPwbBZFjjGgGUA6NLw09EwE0CqkOc4q9oUmW1yo/edit?usp=sharing"",""น่าน!J561"")"),0)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IFERROR(__xludf.DUMMYFUNCTION("IMPORTRANGE(""https://docs.google.com/spreadsheets/d/11923uPwbBZFjjGgGUA6NLw09EwE0CqkOc4q9oUmW1yo/edit?usp=sharing"",""น่าน!J562"")"),0)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IFERROR(__xludf.DUMMYFUNCTION("IMPORTRANGE(""https://docs.google.com/spreadsheets/d/11923uPwbBZFjjGgGUA6NLw09EwE0CqkOc4q9oUmW1yo/edit?usp=sharing"",""น่าน!I563"")"),0)</f>
        <v>0</v>
      </c>
      <c r="J668" s="536">
        <f ca="1">IFERROR(__xludf.DUMMYFUNCTION("IMPORTRANGE(""https://docs.google.com/spreadsheets/d/11923uPwbBZFjjGgGUA6NLw09EwE0CqkOc4q9oUmW1yo/edit?usp=sharing"",""น่าน!J563"")"),0)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IFERROR(__xludf.DUMMYFUNCTION("IMPORTRANGE(""https://docs.google.com/spreadsheets/d/11923uPwbBZFjjGgGUA6NLw09EwE0CqkOc4q9oUmW1yo/edit?usp=sharing"",""น่าน!L563"")"),0)</f>
        <v>0</v>
      </c>
      <c r="M668" s="521"/>
      <c r="N668" s="538">
        <f ca="1">IFERROR(__xludf.DUMMYFUNCTION("IMPORTRANGE(""https://docs.google.com/spreadsheets/d/11923uPwbBZFjjGgGUA6NLw09EwE0CqkOc4q9oUmW1yo/edit?usp=sharing"",""น่าน!M563"")"),0)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IFERROR(__xludf.DUMMYFUNCTION("IMPORTRANGE(""https://docs.google.com/spreadsheets/d/11923uPwbBZFjjGgGUA6NLw09EwE0CqkOc4q9oUmW1yo/edit?usp=sharing"",""น่าน!J564"")"),0)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IFERROR(__xludf.DUMMYFUNCTION("IMPORTRANGE(""https://docs.google.com/spreadsheets/d/11923uPwbBZFjjGgGUA6NLw09EwE0CqkOc4q9oUmW1yo/edit?usp=sharing"",""น่าน!J565"")"),0)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IFERROR(__xludf.DUMMYFUNCTION("IMPORTRANGE(""https://docs.google.com/spreadsheets/d/11923uPwbBZFjjGgGUA6NLw09EwE0CqkOc4q9oUmW1yo/edit?usp=sharing"",""น่าน!I566"")"),0)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IFERROR(__xludf.DUMMYFUNCTION("IMPORTRANGE(""https://docs.google.com/spreadsheets/d/11923uPwbBZFjjGgGUA6NLw09EwE0CqkOc4q9oUmW1yo/edit?usp=sharing"",""น่าน!L566"")"),0)</f>
        <v>0</v>
      </c>
      <c r="M671" s="521"/>
      <c r="N671" s="538">
        <f ca="1">IFERROR(__xludf.DUMMYFUNCTION("IMPORTRANGE(""https://docs.google.com/spreadsheets/d/11923uPwbBZFjjGgGUA6NLw09EwE0CqkOc4q9oUmW1yo/edit?usp=sharing"",""น่าน!M566"")"),0)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IFERROR(__xludf.DUMMYFUNCTION("IMPORTRANGE(""https://docs.google.com/spreadsheets/d/11923uPwbBZFjjGgGUA6NLw09EwE0CqkOc4q9oUmW1yo/edit?usp=sharing"",""น่าน!J567"")"),0)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IFERROR(__xludf.DUMMYFUNCTION("IMPORTRANGE(""https://docs.google.com/spreadsheets/d/11923uPwbBZFjjGgGUA6NLw09EwE0CqkOc4q9oUmW1yo/edit?usp=sharing"",""น่าน!J568"")"),0)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IFERROR(__xludf.DUMMYFUNCTION("IMPORTRANGE(""https://docs.google.com/spreadsheets/d/11923uPwbBZFjjGgGUA6NLw09EwE0CqkOc4q9oUmW1yo/edit?usp=sharing"",""น่าน!J569"")"),0)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IFERROR(__xludf.DUMMYFUNCTION("IMPORTRANGE(""https://docs.google.com/spreadsheets/d/11923uPwbBZFjjGgGUA6NLw09EwE0CqkOc4q9oUmW1yo/edit?usp=sharing"",""น่าน!J570"")"),0)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IFERROR(__xludf.DUMMYFUNCTION("IMPORTRANGE(""https://docs.google.com/spreadsheets/d/11923uPwbBZFjjGgGUA6NLw09EwE0CqkOc4q9oUmW1yo/edit?usp=sharing"",""น่าน!J571"")"),0)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IFERROR(__xludf.DUMMYFUNCTION("IMPORTRANGE(""https://docs.google.com/spreadsheets/d/11923uPwbBZFjjGgGUA6NLw09EwE0CqkOc4q9oUmW1yo/edit?usp=sharing"",""น่าน!J572"")"),0)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6373466</v>
      </c>
      <c r="M8" s="23">
        <f t="shared" ca="1" si="0"/>
        <v>3935330</v>
      </c>
      <c r="N8" s="23">
        <f t="shared" ca="1" si="0"/>
        <v>4320902.46</v>
      </c>
      <c r="O8" s="22">
        <f t="shared" ref="O8:O16" ca="1" si="1">IF(L8&gt;0,N8*100/L8,0)</f>
        <v>67.795175497915892</v>
      </c>
      <c r="P8" s="22">
        <f t="shared" ref="P8:P16" ca="1" si="2">IF(M8&gt;0,N8*100/M8,0)</f>
        <v>109.79771607463668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6373466</v>
      </c>
      <c r="M10" s="30">
        <f t="shared" ca="1" si="4"/>
        <v>3935330</v>
      </c>
      <c r="N10" s="30">
        <f t="shared" ca="1" si="4"/>
        <v>4320902.46</v>
      </c>
      <c r="O10" s="29">
        <f t="shared" ca="1" si="1"/>
        <v>67.795175497915892</v>
      </c>
      <c r="P10" s="29">
        <f t="shared" ca="1" si="2"/>
        <v>109.79771607463668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5981666</v>
      </c>
      <c r="M12" s="39">
        <f t="shared" ca="1" si="6"/>
        <v>3543530</v>
      </c>
      <c r="N12" s="39">
        <f t="shared" ca="1" si="6"/>
        <v>3929102.46</v>
      </c>
      <c r="O12" s="39">
        <f t="shared" ca="1" si="1"/>
        <v>65.685754771329599</v>
      </c>
      <c r="P12" s="39">
        <f t="shared" ca="1" si="2"/>
        <v>110.88102711138328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1732200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4249466</v>
      </c>
      <c r="M14" s="39">
        <f t="shared" si="8"/>
        <v>0</v>
      </c>
      <c r="N14" s="39">
        <f t="shared" ca="1" si="8"/>
        <v>1227293.79</v>
      </c>
      <c r="O14" s="39">
        <f t="shared" ca="1" si="1"/>
        <v>28.881129770187595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3826030</v>
      </c>
      <c r="M18" s="23">
        <f t="shared" ca="1" si="11"/>
        <v>3935330</v>
      </c>
      <c r="N18" s="23">
        <f t="shared" ca="1" si="11"/>
        <v>3093608.67</v>
      </c>
      <c r="O18" s="22">
        <f t="shared" ref="O18:O20" ca="1" si="12">IF(L18&gt;0,N18*100/L18,0)</f>
        <v>80.856884812717098</v>
      </c>
      <c r="P18" s="22">
        <f t="shared" ref="P18:P26" ca="1" si="13">IF(M18&gt;0,N18*100/M18,0)</f>
        <v>78.611162723329429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3826030</v>
      </c>
      <c r="M20" s="30">
        <f t="shared" ca="1" si="15"/>
        <v>3935330</v>
      </c>
      <c r="N20" s="30">
        <f t="shared" ca="1" si="15"/>
        <v>3093608.67</v>
      </c>
      <c r="O20" s="29">
        <f t="shared" ca="1" si="12"/>
        <v>80.856884812717098</v>
      </c>
      <c r="P20" s="29">
        <f t="shared" ca="1" si="13"/>
        <v>78.611162723329429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3434230</v>
      </c>
      <c r="M22" s="42">
        <f t="shared" ca="1" si="18"/>
        <v>3543530</v>
      </c>
      <c r="N22" s="39">
        <f t="shared" ca="1" si="18"/>
        <v>2701808.67</v>
      </c>
      <c r="O22" s="39">
        <f t="shared" ca="1" si="17"/>
        <v>78.672909793461713</v>
      </c>
      <c r="P22" s="39">
        <f t="shared" ca="1" si="13"/>
        <v>76.246247950490044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1732200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1702030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2547436</v>
      </c>
      <c r="M28" s="23">
        <f t="shared" si="23"/>
        <v>0</v>
      </c>
      <c r="N28" s="23">
        <f t="shared" ca="1" si="23"/>
        <v>1227293.79</v>
      </c>
      <c r="O28" s="22">
        <f t="shared" ref="O28:O30" ca="1" si="24">IF(L28&gt;0,N28*100/L28,0)</f>
        <v>48.177610350171705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2547436</v>
      </c>
      <c r="M30" s="30">
        <f t="shared" si="27"/>
        <v>0</v>
      </c>
      <c r="N30" s="30">
        <f t="shared" ca="1" si="27"/>
        <v>1227293.79</v>
      </c>
      <c r="O30" s="29">
        <f t="shared" ca="1" si="24"/>
        <v>48.177610350171705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2547436</v>
      </c>
      <c r="M32" s="39">
        <f t="shared" si="30"/>
        <v>0</v>
      </c>
      <c r="N32" s="39">
        <f t="shared" ca="1" si="30"/>
        <v>1227293.79</v>
      </c>
      <c r="O32" s="39">
        <f t="shared" ca="1" si="29"/>
        <v>48.177610350171705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2547436</v>
      </c>
      <c r="M34" s="39">
        <f t="shared" si="32"/>
        <v>0</v>
      </c>
      <c r="N34" s="39">
        <f t="shared" ca="1" si="32"/>
        <v>1227293.79</v>
      </c>
      <c r="O34" s="39">
        <f t="shared" ca="1" si="29"/>
        <v>48.177610350171705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3826030</v>
      </c>
      <c r="M37" s="55">
        <f t="shared" ca="1" si="33"/>
        <v>3935330</v>
      </c>
      <c r="N37" s="55">
        <f t="shared" ca="1" si="33"/>
        <v>3093608.67</v>
      </c>
      <c r="O37" s="56">
        <f t="shared" ca="1" si="29"/>
        <v>80.856884812717098</v>
      </c>
      <c r="P37" s="56">
        <f t="shared" ca="1" si="25"/>
        <v>78.611162723329429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811700</v>
      </c>
      <c r="N41" s="79">
        <f t="shared" ca="1" si="34"/>
        <v>654790.23</v>
      </c>
      <c r="O41" s="78">
        <f t="shared" ref="O41:O43" ca="1" si="35">IF(L41&gt;0,N41*100/L41,0)</f>
        <v>80.668994702476283</v>
      </c>
      <c r="P41" s="78">
        <f t="shared" ref="P41:P43" ca="1" si="36">IF(M41&gt;0,N41*100/M41,0)</f>
        <v>80.668994702476283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811700</v>
      </c>
      <c r="N43" s="79">
        <f t="shared" ca="1" si="38"/>
        <v>654790.23</v>
      </c>
      <c r="O43" s="78">
        <f t="shared" ca="1" si="35"/>
        <v>80.668994702476283</v>
      </c>
      <c r="P43" s="78">
        <f t="shared" ca="1" si="36"/>
        <v>80.668994702476283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IFERROR(__xludf.DUMMYFUNCTION("IMPORTRANGE(""https://docs.google.com/spreadsheets/d/1Yj_ptqi66GCucihVvJfMjLAmec39IyEx_6qawtMGysU/edit?usp=sharing"",""สบก!Q26"")"),619700)</f>
        <v>619700</v>
      </c>
      <c r="N45" s="50">
        <f ca="1">IFERROR(__xludf.DUMMYFUNCTION("IMPORTRANGE(""https://docs.google.com/spreadsheets/d/1Yj_ptqi66GCucihVvJfMjLAmec39IyEx_6qawtMGysU/edit?usp=sharing"",""สบก!R26"")"),462790.23)</f>
        <v>462790.23</v>
      </c>
      <c r="O45" s="39">
        <f ca="1">IF(L45&gt;0,N45*100/L45,0)</f>
        <v>74.679720832660962</v>
      </c>
      <c r="P45" s="39">
        <f ca="1">IF(M45&gt;0,N45*100/M45,0)</f>
        <v>74.679720832660962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456000</v>
      </c>
      <c r="M53" s="121">
        <f t="shared" ca="1" si="39"/>
        <v>446080</v>
      </c>
      <c r="N53" s="121">
        <f t="shared" ca="1" si="39"/>
        <v>371380</v>
      </c>
      <c r="O53" s="120">
        <f t="shared" ref="O53:O55" ca="1" si="40">IF(L53&gt;0,N53*100/L53,0)</f>
        <v>81.442982456140356</v>
      </c>
      <c r="P53" s="120">
        <f t="shared" ref="P53:P55" ca="1" si="41">IF(M53&gt;0,N53*100/M53,0)</f>
        <v>83.254124820659968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456000</v>
      </c>
      <c r="M55" s="121">
        <f t="shared" ca="1" si="43"/>
        <v>446080</v>
      </c>
      <c r="N55" s="121">
        <f t="shared" ca="1" si="43"/>
        <v>371380</v>
      </c>
      <c r="O55" s="120">
        <f t="shared" ca="1" si="40"/>
        <v>81.442982456140356</v>
      </c>
      <c r="P55" s="120">
        <f t="shared" ca="1" si="41"/>
        <v>83.254124820659968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456000</v>
      </c>
      <c r="M57" s="50">
        <f ca="1">IFERROR(__xludf.DUMMYFUNCTION("IMPORTRANGE(""https://docs.google.com/spreadsheets/d/1Yj_ptqi66GCucihVvJfMjLAmec39IyEx_6qawtMGysU/edit?usp=sharing"",""สบก!Z26"")"),446080)</f>
        <v>446080</v>
      </c>
      <c r="N57" s="50">
        <f ca="1">IFERROR(__xludf.DUMMYFUNCTION("IMPORTRANGE(""https://docs.google.com/spreadsheets/d/1Yj_ptqi66GCucihVvJfMjLAmec39IyEx_6qawtMGysU/edit?usp=sharing"",""สบก!AA26"")"),371380)</f>
        <v>371380</v>
      </c>
      <c r="O57" s="39">
        <f ca="1">IF(L57&gt;0,N57*100/L57,0)</f>
        <v>81.442982456140356</v>
      </c>
      <c r="P57" s="39">
        <f ca="1">IF(M57&gt;0,N57*100/M57,0)</f>
        <v>83.254124820659968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IFERROR(__xludf.DUMMYFUNCTION("IMPORTRANGE(""https://docs.google.com/spreadsheets/d/1Yj_ptqi66GCucihVvJfMjLAmec39IyEx_6qawtMGysU/edit?usp=sharing"",""สบก!V26"")"),456000)</f>
        <v>456000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382000</v>
      </c>
      <c r="M66" s="152">
        <f t="shared" ca="1" si="45"/>
        <v>418720</v>
      </c>
      <c r="N66" s="152">
        <f t="shared" ca="1" si="45"/>
        <v>233344.74</v>
      </c>
      <c r="O66" s="151">
        <f t="shared" ref="O66:O68" ca="1" si="46">IF(L66&gt;0,N66*100/L66,0)</f>
        <v>61.085010471204185</v>
      </c>
      <c r="P66" s="151">
        <f t="shared" ref="P66:P68" ca="1" si="47">IF(M66&gt;0,N66*100/M66,0)</f>
        <v>55.72810947649981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382000</v>
      </c>
      <c r="M68" s="88">
        <f t="shared" ca="1" si="49"/>
        <v>418720</v>
      </c>
      <c r="N68" s="88">
        <f t="shared" ca="1" si="49"/>
        <v>233344.74</v>
      </c>
      <c r="O68" s="156">
        <f t="shared" ca="1" si="46"/>
        <v>61.085010471204185</v>
      </c>
      <c r="P68" s="156">
        <f t="shared" ca="1" si="47"/>
        <v>55.72810947649981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IFERROR(__xludf.DUMMYFUNCTION("IMPORTRANGE(""https://docs.google.com/spreadsheets/d/1Yj_ptqi66GCucihVvJfMjLAmec39IyEx_6qawtMGysU/edit?usp=sharing"",""สบก!AI26"")"),418720)</f>
        <v>418720</v>
      </c>
      <c r="N70" s="168">
        <f ca="1">IFERROR(__xludf.DUMMYFUNCTION("IMPORTRANGE(""https://docs.google.com/spreadsheets/d/1Yj_ptqi66GCucihVvJfMjLAmec39IyEx_6qawtMGysU/edit?usp=sharing"",""สบก!AJ26"")"),233344.74)</f>
        <v>233344.74</v>
      </c>
      <c r="O70" s="168">
        <f ca="1">IF(L70&gt;0,N70*100/L70,0)</f>
        <v>61.085010471204185</v>
      </c>
      <c r="P70" s="168">
        <f ca="1">IF(M70&gt;0,N70*100/M70,0)</f>
        <v>55.72810947649981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295445</v>
      </c>
      <c r="O94" s="151">
        <f t="shared" ref="O94:O96" ca="1" si="53">IF(L94&gt;0,N94*100/L94,0)</f>
        <v>92.627602207173311</v>
      </c>
      <c r="P94" s="151">
        <f t="shared" ref="P94:P96" ca="1" si="54">IF(M94&gt;0,N94*100/M94,0)</f>
        <v>92.627602207173311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295445</v>
      </c>
      <c r="O96" s="156">
        <f t="shared" ca="1" si="53"/>
        <v>92.627602207173311</v>
      </c>
      <c r="P96" s="156">
        <f t="shared" ca="1" si="54"/>
        <v>92.627602207173311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IFERROR(__xludf.DUMMYFUNCTION("IMPORTRANGE(""https://docs.google.com/spreadsheets/d/1Yj_ptqi66GCucihVvJfMjLAmec39IyEx_6qawtMGysU/edit?usp=sharing"",""สบก!AR26"")"),134160)</f>
        <v>134160</v>
      </c>
      <c r="N98" s="168">
        <f ca="1">IFERROR(__xludf.DUMMYFUNCTION("IMPORTRANGE(""https://docs.google.com/spreadsheets/d/1Yj_ptqi66GCucihVvJfMjLAmec39IyEx_6qawtMGysU/edit?usp=sharing"",""สบก!AS26"")"),110645)</f>
        <v>110645</v>
      </c>
      <c r="O98" s="168">
        <f ca="1">IF(L98&gt;0,N98*100/L98,0)</f>
        <v>82.472420989862854</v>
      </c>
      <c r="P98" s="168">
        <f ca="1">IF(M98&gt;0,N98*100/M98,0)</f>
        <v>82.472420989862854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93495</v>
      </c>
      <c r="M118" s="152">
        <f t="shared" ca="1" si="58"/>
        <v>93495</v>
      </c>
      <c r="N118" s="152">
        <f t="shared" ca="1" si="58"/>
        <v>76857</v>
      </c>
      <c r="O118" s="151">
        <f t="shared" ref="O118:O120" ca="1" si="59">IF(L118&gt;0,N118*100/L118,0)</f>
        <v>82.204395957003044</v>
      </c>
      <c r="P118" s="151">
        <f t="shared" ref="P118:P120" ca="1" si="60">IF(M118&gt;0,N118*100/M118,0)</f>
        <v>82.204395957003044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93495</v>
      </c>
      <c r="M120" s="88">
        <f t="shared" ca="1" si="62"/>
        <v>93495</v>
      </c>
      <c r="N120" s="88">
        <f t="shared" ca="1" si="62"/>
        <v>76857</v>
      </c>
      <c r="O120" s="156">
        <f t="shared" ca="1" si="59"/>
        <v>82.204395957003044</v>
      </c>
      <c r="P120" s="156">
        <f t="shared" ca="1" si="60"/>
        <v>82.204395957003044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93495</v>
      </c>
      <c r="M122" s="167">
        <f ca="1">IFERROR(__xludf.DUMMYFUNCTION("IMPORTRANGE(""https://docs.google.com/spreadsheets/d/1Yj_ptqi66GCucihVvJfMjLAmec39IyEx_6qawtMGysU/edit?usp=sharing"",""สบก!BA26"")"),93495)</f>
        <v>93495</v>
      </c>
      <c r="N122" s="168">
        <f ca="1">IFERROR(__xludf.DUMMYFUNCTION("IMPORTRANGE(""https://docs.google.com/spreadsheets/d/1Yj_ptqi66GCucihVvJfMjLAmec39IyEx_6qawtMGysU/edit?usp=sharing"",""สบก!BB26"")"),76857)</f>
        <v>76857</v>
      </c>
      <c r="O122" s="168">
        <f ca="1">IF(L122&gt;0,N122*100/L122,0)</f>
        <v>82.204395957003044</v>
      </c>
      <c r="P122" s="168">
        <f ca="1">IF(M122&gt;0,N122*100/M122,0)</f>
        <v>82.204395957003044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IFERROR(__xludf.DUMMYFUNCTION("IMPORTRANGE(""https://docs.google.com/spreadsheets/d/1Yj_ptqi66GCucihVvJfMjLAmec39IyEx_6qawtMGysU/edit?usp=sharing"",""สบก!AX26"")"),93495)</f>
        <v>93495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874700</v>
      </c>
      <c r="M140" s="152">
        <f t="shared" ca="1" si="64"/>
        <v>882700</v>
      </c>
      <c r="N140" s="152">
        <f t="shared" ca="1" si="64"/>
        <v>729949</v>
      </c>
      <c r="O140" s="151">
        <f t="shared" ref="O140:O142" ca="1" si="65">IF(L140&gt;0,N140*100/L140,0)</f>
        <v>83.451354750200068</v>
      </c>
      <c r="P140" s="151">
        <f t="shared" ref="P140:P142" ca="1" si="66">IF(M140&gt;0,N140*100/M140,0)</f>
        <v>82.695026622861675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874700</v>
      </c>
      <c r="M142" s="88">
        <f t="shared" ca="1" si="68"/>
        <v>882700</v>
      </c>
      <c r="N142" s="88">
        <f t="shared" ca="1" si="68"/>
        <v>729949</v>
      </c>
      <c r="O142" s="156">
        <f t="shared" ca="1" si="65"/>
        <v>83.451354750200068</v>
      </c>
      <c r="P142" s="156">
        <f t="shared" ca="1" si="66"/>
        <v>82.695026622861675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874700</v>
      </c>
      <c r="M144" s="167">
        <f ca="1">IFERROR(__xludf.DUMMYFUNCTION("IMPORTRANGE(""https://docs.google.com/spreadsheets/d/1Yj_ptqi66GCucihVvJfMjLAmec39IyEx_6qawtMGysU/edit?usp=sharing"",""สบก!BJ26"")"),882700)</f>
        <v>882700</v>
      </c>
      <c r="N144" s="168">
        <f ca="1">IFERROR(__xludf.DUMMYFUNCTION("IMPORTRANGE(""https://docs.google.com/spreadsheets/d/1Yj_ptqi66GCucihVvJfMjLAmec39IyEx_6qawtMGysU/edit?usp=sharing"",""สบก!BK26"")"),729949)</f>
        <v>729949</v>
      </c>
      <c r="O144" s="168">
        <f ca="1">IF(L144&gt;0,N144*100/L144,0)</f>
        <v>83.451354750200068</v>
      </c>
      <c r="P144" s="168">
        <f ca="1">IF(M144&gt;0,N144*100/M144,0)</f>
        <v>82.695026622861675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IFERROR(__xludf.DUMMYFUNCTION("IMPORTRANGE(""https://docs.google.com/spreadsheets/d/1Yj_ptqi66GCucihVvJfMjLAmec39IyEx_6qawtMGysU/edit?usp=sharing"",""สบก!BG26"")"),412600)</f>
        <v>412600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IFERROR(__xludf.DUMMYFUNCTION("IMPORTRANGE(""https://docs.google.com/spreadsheets/d/11923uPwbBZFjjGgGUA6NLw09EwE0CqkOc4q9oUmW1yo/edit?usp=sharing"",""พะเยา!J84"")"),200)</f>
        <v>200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IFERROR(__xludf.DUMMYFUNCTION("IMPORTRANGE(""https://docs.google.com/spreadsheets/d/11923uPwbBZFjjGgGUA6NLw09EwE0CqkOc4q9oUmW1yo/edit?usp=sharing"",""พะเยา!J85"")"),200)</f>
        <v>200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33549</v>
      </c>
      <c r="O250" s="151">
        <f t="shared" ref="O250:O252" ca="1" si="78">IF(L250&gt;0,N250*100/L250,0)</f>
        <v>46.987394957983192</v>
      </c>
      <c r="P250" s="151">
        <f t="shared" ref="P250:P252" ca="1" si="79">IF(M250&gt;0,N250*100/M250,0)</f>
        <v>46.987394957983192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33549</v>
      </c>
      <c r="O252" s="156">
        <f t="shared" ca="1" si="78"/>
        <v>46.987394957983192</v>
      </c>
      <c r="P252" s="156">
        <f t="shared" ca="1" si="79"/>
        <v>46.987394957983192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IFERROR(__xludf.DUMMYFUNCTION("IMPORTRANGE(""https://docs.google.com/spreadsheets/d/1Yj_ptqi66GCucihVvJfMjLAmec39IyEx_6qawtMGysU/edit?usp=sharing"",""สบก!CB26"")"),71400)</f>
        <v>71400</v>
      </c>
      <c r="N254" s="168">
        <f ca="1">IFERROR(__xludf.DUMMYFUNCTION("IMPORTRANGE(""https://docs.google.com/spreadsheets/d/1Yj_ptqi66GCucihVvJfMjLAmec39IyEx_6qawtMGysU/edit?usp=sharing"",""สบก!CC26"")"),33549)</f>
        <v>33549</v>
      </c>
      <c r="O254" s="168">
        <f ca="1">IF(L254&gt;0,N254*100/L254,0)</f>
        <v>46.987394957983192</v>
      </c>
      <c r="P254" s="168">
        <f ca="1">IF(M254&gt;0,N254*100/M254,0)</f>
        <v>46.987394957983192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151896</v>
      </c>
      <c r="O271" s="151">
        <f t="shared" ref="O271:O273" ca="1" si="84">IF(L271&gt;0,N271*100/L271,0)</f>
        <v>82.732026143790847</v>
      </c>
      <c r="P271" s="151">
        <f t="shared" ref="P271:P273" ca="1" si="85">IF(M271&gt;0,N271*100/M271,0)</f>
        <v>82.732026143790847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151896</v>
      </c>
      <c r="O273" s="156">
        <f t="shared" ca="1" si="84"/>
        <v>82.732026143790847</v>
      </c>
      <c r="P273" s="156">
        <f t="shared" ca="1" si="85"/>
        <v>82.732026143790847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IFERROR(__xludf.DUMMYFUNCTION("IMPORTRANGE(""https://docs.google.com/spreadsheets/d/1Yj_ptqi66GCucihVvJfMjLAmec39IyEx_6qawtMGysU/edit?usp=sharing"",""สบก!CK26"")"),183600)</f>
        <v>183600</v>
      </c>
      <c r="N275" s="168">
        <f ca="1">IFERROR(__xludf.DUMMYFUNCTION("IMPORTRANGE(""https://docs.google.com/spreadsheets/d/1Yj_ptqi66GCucihVvJfMjLAmec39IyEx_6qawtMGysU/edit?usp=sharing"",""สบก!CL26"")"),151896)</f>
        <v>151896</v>
      </c>
      <c r="O275" s="168">
        <f ca="1">IF(L275&gt;0,N275*100/L275,0)</f>
        <v>82.732026143790847</v>
      </c>
      <c r="P275" s="168">
        <f ca="1">IF(M275&gt;0,N275*100/M275,0)</f>
        <v>82.732026143790847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IFERROR(__xludf.DUMMYFUNCTION("IMPORTRANGE(""https://docs.google.com/spreadsheets/d/11923uPwbBZFjjGgGUA6NLw09EwE0CqkOc4q9oUmW1yo/edit?usp=sharing"",""พะเยา!J228"")"),406)</f>
        <v>406</v>
      </c>
      <c r="K328" s="317">
        <f ca="1">IF(I328&gt;0,J328*100/I328,0)</f>
        <v>70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613050</v>
      </c>
      <c r="M329" s="152">
        <f t="shared" ca="1" si="98"/>
        <v>687550</v>
      </c>
      <c r="N329" s="152">
        <f t="shared" ca="1" si="98"/>
        <v>525272.69999999995</v>
      </c>
      <c r="O329" s="151">
        <f t="shared" ref="O329:O331" ca="1" si="99">IF(L329&gt;0,N329*100/L329,0)</f>
        <v>85.681869341815499</v>
      </c>
      <c r="P329" s="151">
        <f t="shared" ref="P329:P331" ca="1" si="100">IF(M329&gt;0,N329*100/M329,0)</f>
        <v>76.397745618500466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613050</v>
      </c>
      <c r="M331" s="88">
        <f t="shared" ca="1" si="102"/>
        <v>687550</v>
      </c>
      <c r="N331" s="88">
        <f t="shared" ca="1" si="102"/>
        <v>525272.69999999995</v>
      </c>
      <c r="O331" s="156">
        <f t="shared" ca="1" si="99"/>
        <v>85.681869341815499</v>
      </c>
      <c r="P331" s="156">
        <f t="shared" ca="1" si="100"/>
        <v>76.397745618500466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IFERROR(__xludf.DUMMYFUNCTION("IMPORTRANGE(""https://docs.google.com/spreadsheets/d/1Yj_ptqi66GCucihVvJfMjLAmec39IyEx_6qawtMGysU/edit?usp=sharing"",""สบก!DL26"")"),672550)</f>
        <v>672550</v>
      </c>
      <c r="N333" s="168">
        <f ca="1">IFERROR(__xludf.DUMMYFUNCTION("IMPORTRANGE(""https://docs.google.com/spreadsheets/d/1Yj_ptqi66GCucihVvJfMjLAmec39IyEx_6qawtMGysU/edit?usp=sharing"",""สบก!DM26"")"),510272.7)</f>
        <v>510272.7</v>
      </c>
      <c r="O333" s="168">
        <f ca="1">IF(L333&gt;0,N333*100/L333,0)</f>
        <v>85.322748934035616</v>
      </c>
      <c r="P333" s="168">
        <f ca="1">IF(M333&gt;0,N333*100/M333,0)</f>
        <v>75.871340420786552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IFERROR(__xludf.DUMMYFUNCTION("IMPORTRANGE(""https://docs.google.com/spreadsheets/d/11923uPwbBZFjjGgGUA6NLw09EwE0CqkOc4q9oUmW1yo/edit?usp=sharing"",""พะเยา!J234"")"),228)</f>
        <v>228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IFERROR(__xludf.DUMMYFUNCTION("IMPORTRANGE(""https://docs.google.com/spreadsheets/d/11923uPwbBZFjjGgGUA6NLw09EwE0CqkOc4q9oUmW1yo/edit?usp=sharing"",""พะเยา!J235"")"),1319.31)</f>
        <v>1319.31</v>
      </c>
      <c r="K340" s="342">
        <f t="shared" ca="1" si="103"/>
        <v>65.965500000000006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IFERROR(__xludf.DUMMYFUNCTION("IMPORTRANGE(""https://docs.google.com/spreadsheets/d/11923uPwbBZFjjGgGUA6NLw09EwE0CqkOc4q9oUmW1yo/edit?usp=sharing"",""พะเยา!J236"")"),386)</f>
        <v>386</v>
      </c>
      <c r="K341" s="342">
        <f t="shared" ca="1" si="103"/>
        <v>66.551724137931032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IFERROR(__xludf.DUMMYFUNCTION("IMPORTRANGE(""https://docs.google.com/spreadsheets/d/11923uPwbBZFjjGgGUA6NLw09EwE0CqkOc4q9oUmW1yo/edit?usp=sharing"",""พะเยา!J237"")"),2813.07)</f>
        <v>2813.07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IFERROR(__xludf.DUMMYFUNCTION("IMPORTRANGE(""https://docs.google.com/spreadsheets/d/11923uPwbBZFjjGgGUA6NLw09EwE0CqkOc4q9oUmW1yo/edit?usp=sharing"",""พะเยา!J240"")"),406)</f>
        <v>406</v>
      </c>
      <c r="K345" s="342">
        <f t="shared" ca="1" si="103"/>
        <v>70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IFERROR(__xludf.DUMMYFUNCTION("IMPORTRANGE(""https://docs.google.com/spreadsheets/d/11923uPwbBZFjjGgGUA6NLw09EwE0CqkOc4q9oUmW1yo/edit?usp=sharing"",""พะเยา!J241"")"),2865.81)</f>
        <v>2865.81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IFERROR(__xludf.DUMMYFUNCTION("IMPORTRANGE(""https://docs.google.com/spreadsheets/d/11923uPwbBZFjjGgGUA6NLw09EwE0CqkOc4q9oUmW1yo/edit?usp=sharing"",""พะเยา!L242"")"),2547436)</f>
        <v>2547436</v>
      </c>
      <c r="M347" s="357"/>
      <c r="N347" s="357">
        <f ca="1">IFERROR(__xludf.DUMMYFUNCTION("IMPORTRANGE(""https://docs.google.com/spreadsheets/d/11923uPwbBZFjjGgGUA6NLw09EwE0CqkOc4q9oUmW1yo/edit?usp=sharing"",""พะเยา!M242"")"),1227293.79)</f>
        <v>1227293.79</v>
      </c>
      <c r="O347" s="357">
        <f ca="1">+IF(L347&gt;0,N347*100/L347,0)</f>
        <v>48.177610350171705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IFERROR(__xludf.DUMMYFUNCTION("IMPORTRANGE(""https://docs.google.com/spreadsheets/d/11923uPwbBZFjjGgGUA6NLw09EwE0CqkOc4q9oUmW1yo/edit?usp=sharing"",""พะเยา!M244"")"),152040.74)</f>
        <v>152040.74</v>
      </c>
      <c r="O349" s="372">
        <f ca="1">+IF(L349&gt;0,N349*100/L349,0)</f>
        <v>41.771729215890986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IFERROR(__xludf.DUMMYFUNCTION("IMPORTRANGE(""https://docs.google.com/spreadsheets/d/11923uPwbBZFjjGgGUA6NLw09EwE0CqkOc4q9oUmW1yo/edit?usp=sharing"",""พะเยา!M247"")"),152040.74)</f>
        <v>152040.74</v>
      </c>
      <c r="O352" s="165">
        <f t="shared" ca="1" si="105"/>
        <v>41.771729215890986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IFERROR(__xludf.DUMMYFUNCTION("IMPORTRANGE(""https://docs.google.com/spreadsheets/d/11923uPwbBZFjjGgGUA6NLw09EwE0CqkOc4q9oUmW1yo/edit?usp=sharing"",""พะเยา!M249"")"),152040.74)</f>
        <v>152040.74</v>
      </c>
      <c r="O354" s="168">
        <f t="shared" ca="1" si="105"/>
        <v>41.771729215890986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IFERROR(__xludf.DUMMYFUNCTION("IMPORTRANGE(""https://docs.google.com/spreadsheets/d/11923uPwbBZFjjGgGUA6NLw09EwE0CqkOc4q9oUmW1yo/edit?usp=sharing"",""พะเยา!M250"")"),37200)</f>
        <v>37200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IFERROR(__xludf.DUMMYFUNCTION("IMPORTRANGE(""https://docs.google.com/spreadsheets/d/11923uPwbBZFjjGgGUA6NLw09EwE0CqkOc4q9oUmW1yo/edit?usp=sharing"",""พะเยา!M252"")"),90031.74)</f>
        <v>90031.74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IFERROR(__xludf.DUMMYFUNCTION("IMPORTRANGE(""https://docs.google.com/spreadsheets/d/11923uPwbBZFjjGgGUA6NLw09EwE0CqkOc4q9oUmW1yo/edit?usp=sharing"",""พะเยา!M253"")"),24809)</f>
        <v>24809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IFERROR(__xludf.DUMMYFUNCTION("IMPORTRANGE(""https://docs.google.com/spreadsheets/d/11923uPwbBZFjjGgGUA6NLw09EwE0CqkOc4q9oUmW1yo/edit?usp=sharing"",""พะเยา!M275"")"),304614.2)</f>
        <v>304614.2</v>
      </c>
      <c r="O380" s="372">
        <f ca="1">+IF(L380&gt;0,N380*100/L380,0)</f>
        <v>29.616750281958542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IFERROR(__xludf.DUMMYFUNCTION("IMPORTRANGE(""https://docs.google.com/spreadsheets/d/11923uPwbBZFjjGgGUA6NLw09EwE0CqkOc4q9oUmW1yo/edit?usp=sharing"",""พะเยา!M278"")"),304614.2)</f>
        <v>304614.2</v>
      </c>
      <c r="O383" s="165">
        <f t="shared" ca="1" si="109"/>
        <v>29.616750281958542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IFERROR(__xludf.DUMMYFUNCTION("IMPORTRANGE(""https://docs.google.com/spreadsheets/d/11923uPwbBZFjjGgGUA6NLw09EwE0CqkOc4q9oUmW1yo/edit?usp=sharing"",""พะเยา!M280"")"),304614.2)</f>
        <v>304614.2</v>
      </c>
      <c r="O385" s="168">
        <f t="shared" ca="1" si="109"/>
        <v>29.616750281958542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IFERROR(__xludf.DUMMYFUNCTION("IMPORTRANGE(""https://docs.google.com/spreadsheets/d/11923uPwbBZFjjGgGUA6NLw09EwE0CqkOc4q9oUmW1yo/edit?usp=sharing"",""พะเยา!M281"")"),173974.2)</f>
        <v>173974.2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IFERROR(__xludf.DUMMYFUNCTION("IMPORTRANGE(""https://docs.google.com/spreadsheets/d/11923uPwbBZFjjGgGUA6NLw09EwE0CqkOc4q9oUmW1yo/edit?usp=sharing"",""พะเยา!M283"")"),85064)</f>
        <v>85064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IFERROR(__xludf.DUMMYFUNCTION("IMPORTRANGE(""https://docs.google.com/spreadsheets/d/11923uPwbBZFjjGgGUA6NLw09EwE0CqkOc4q9oUmW1yo/edit?usp=sharing"",""พะเยา!M284"")"),45576)</f>
        <v>45576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IFERROR(__xludf.DUMMYFUNCTION("IMPORTRANGE(""https://docs.google.com/spreadsheets/d/11923uPwbBZFjjGgGUA6NLw09EwE0CqkOc4q9oUmW1yo/edit?usp=sharing"",""พะเยา!M296"")"),254399)</f>
        <v>254399</v>
      </c>
      <c r="O401" s="372">
        <f ca="1">+IF(L401&gt;0,N401*100/L401,0)</f>
        <v>93.556560753162699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IFERROR(__xludf.DUMMYFUNCTION("IMPORTRANGE(""https://docs.google.com/spreadsheets/d/11923uPwbBZFjjGgGUA6NLw09EwE0CqkOc4q9oUmW1yo/edit?usp=sharing"",""พะเยา!M299"")"),254399)</f>
        <v>254399</v>
      </c>
      <c r="O404" s="168">
        <f t="shared" ca="1" si="112"/>
        <v>93.556560753162699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IFERROR(__xludf.DUMMYFUNCTION("IMPORTRANGE(""https://docs.google.com/spreadsheets/d/11923uPwbBZFjjGgGUA6NLw09EwE0CqkOc4q9oUmW1yo/edit?usp=sharing"",""พะเยา!M301"")"),254399)</f>
        <v>254399</v>
      </c>
      <c r="O406" s="168">
        <f t="shared" ca="1" si="112"/>
        <v>93.556560753162699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IFERROR(__xludf.DUMMYFUNCTION("IMPORTRANGE(""https://docs.google.com/spreadsheets/d/11923uPwbBZFjjGgGUA6NLw09EwE0CqkOc4q9oUmW1yo/edit?usp=sharing"",""พะเยา!M302"")"),158779)</f>
        <v>158779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IFERROR(__xludf.DUMMYFUNCTION("IMPORTRANGE(""https://docs.google.com/spreadsheets/d/11923uPwbBZFjjGgGUA6NLw09EwE0CqkOc4q9oUmW1yo/edit?usp=sharing"",""พะเยา!M305"")"),95620)</f>
        <v>95620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IFERROR(__xludf.DUMMYFUNCTION("IMPORTRANGE(""https://docs.google.com/spreadsheets/d/11923uPwbBZFjjGgGUA6NLw09EwE0CqkOc4q9oUmW1yo/edit?usp=sharing"",""พะเยา!J325"")"),70)</f>
        <v>70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IFERROR(__xludf.DUMMYFUNCTION("IMPORTRANGE(""https://docs.google.com/spreadsheets/d/11923uPwbBZFjjGgGUA6NLw09EwE0CqkOc4q9oUmW1yo/edit?usp=sharing"",""พะเยา!J327"")"),50)</f>
        <v>50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IFERROR(__xludf.DUMMYFUNCTION("IMPORTRANGE(""https://docs.google.com/spreadsheets/d/11923uPwbBZFjjGgGUA6NLw09EwE0CqkOc4q9oUmW1yo/edit?usp=sharing"",""พะเยา!M330"")"),79376)</f>
        <v>79376</v>
      </c>
      <c r="O435" s="411">
        <f t="shared" ref="O435:O439" ca="1" si="114">+IF(L435&gt;0,N435*100/L435,0)</f>
        <v>52.917333333333332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IFERROR(__xludf.DUMMYFUNCTION("IMPORTRANGE(""https://docs.google.com/spreadsheets/d/11923uPwbBZFjjGgGUA6NLw09EwE0CqkOc4q9oUmW1yo/edit?usp=sharing"",""พะเยา!M332"")"),79376)</f>
        <v>79376</v>
      </c>
      <c r="O437" s="168">
        <f t="shared" ca="1" si="114"/>
        <v>52.917333333333332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IFERROR(__xludf.DUMMYFUNCTION("IMPORTRANGE(""https://docs.google.com/spreadsheets/d/11923uPwbBZFjjGgGUA6NLw09EwE0CqkOc4q9oUmW1yo/edit?usp=sharing"",""พะเยา!M334"")"),79376)</f>
        <v>79376</v>
      </c>
      <c r="O439" s="168">
        <f t="shared" ca="1" si="114"/>
        <v>52.917333333333332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IFERROR(__xludf.DUMMYFUNCTION("IMPORTRANGE(""https://docs.google.com/spreadsheets/d/11923uPwbBZFjjGgGUA6NLw09EwE0CqkOc4q9oUmW1yo/edit?usp=sharing"",""พะเยา!M338"")"),16418)</f>
        <v>16418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IFERROR(__xludf.DUMMYFUNCTION("IMPORTRANGE(""https://docs.google.com/spreadsheets/d/11923uPwbBZFjjGgGUA6NLw09EwE0CqkOc4q9oUmW1yo/edit?usp=sharing"",""พะเยา!J350"")"),0)</f>
        <v>0</v>
      </c>
      <c r="K455" s="371">
        <f ca="1">IF(I455&gt;0,J455*100/I455,0)</f>
        <v>0</v>
      </c>
      <c r="L455" s="372">
        <f ca="1">IFERROR(__xludf.DUMMYFUNCTION("IMPORTRANGE(""https://docs.google.com/spreadsheets/d/11923uPwbBZFjjGgGUA6NLw09EwE0CqkOc4q9oUmW1yo/edit?usp=sharing"",""พะเยา!L350"")"),403546)</f>
        <v>403546</v>
      </c>
      <c r="M455" s="372"/>
      <c r="N455" s="372">
        <f ca="1">IFERROR(__xludf.DUMMYFUNCTION("IMPORTRANGE(""https://docs.google.com/spreadsheets/d/11923uPwbBZFjjGgGUA6NLw09EwE0CqkOc4q9oUmW1yo/edit?usp=sharing"",""พะเยา!M350"")"),296752.85)</f>
        <v>296752.84999999998</v>
      </c>
      <c r="O455" s="372">
        <f t="shared" ref="O455:O459" ca="1" si="116">+IF(L455&gt;0,N455*100/L455,0)</f>
        <v>73.536313084505849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IFERROR(__xludf.DUMMYFUNCTION("IMPORTRANGE(""https://docs.google.com/spreadsheets/d/11923uPwbBZFjjGgGUA6NLw09EwE0CqkOc4q9oUmW1yo/edit?usp=sharing"",""พะเยา!L352"")"),403546)</f>
        <v>403546</v>
      </c>
      <c r="M457" s="165"/>
      <c r="N457" s="168">
        <f ca="1">IFERROR(__xludf.DUMMYFUNCTION("IMPORTRANGE(""https://docs.google.com/spreadsheets/d/11923uPwbBZFjjGgGUA6NLw09EwE0CqkOc4q9oUmW1yo/edit?usp=sharing"",""พะเยา!M352"")"),296752.85)</f>
        <v>296752.84999999998</v>
      </c>
      <c r="O457" s="168">
        <f t="shared" ca="1" si="116"/>
        <v>73.536313084505849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IFERROR(__xludf.DUMMYFUNCTION("IMPORTRANGE(""https://docs.google.com/spreadsheets/d/11923uPwbBZFjjGgGUA6NLw09EwE0CqkOc4q9oUmW1yo/edit?usp=sharing"",""พะเยา!L354"")"),403546)</f>
        <v>403546</v>
      </c>
      <c r="M459" s="168"/>
      <c r="N459" s="168">
        <f ca="1">IFERROR(__xludf.DUMMYFUNCTION("IMPORTRANGE(""https://docs.google.com/spreadsheets/d/11923uPwbBZFjjGgGUA6NLw09EwE0CqkOc4q9oUmW1yo/edit?usp=sharing"",""พะเยา!M354"")"),296752.85)</f>
        <v>296752.84999999998</v>
      </c>
      <c r="O459" s="168">
        <f t="shared" ca="1" si="116"/>
        <v>73.536313084505849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IFERROR(__xludf.DUMMYFUNCTION("IMPORTRANGE(""https://docs.google.com/spreadsheets/d/11923uPwbBZFjjGgGUA6NLw09EwE0CqkOc4q9oUmW1yo/edit?usp=sharing"",""พะเยา!M357"")"),96619.35)</f>
        <v>96619.35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IFERROR(__xludf.DUMMYFUNCTION("IMPORTRANGE(""https://docs.google.com/spreadsheets/d/11923uPwbBZFjjGgGUA6NLw09EwE0CqkOc4q9oUmW1yo/edit?usp=sharing"",""พะเยา!M358"")"),200133.5)</f>
        <v>200133.5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IFERROR(__xludf.DUMMYFUNCTION("IMPORTRANGE(""https://docs.google.com/spreadsheets/d/11923uPwbBZFjjGgGUA6NLw09EwE0CqkOc4q9oUmW1yo/edit?usp=sharing"",""พะเยา!J392"")"),6)</f>
        <v>6</v>
      </c>
      <c r="K497" s="444">
        <f t="shared" ca="1" si="117"/>
        <v>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IFERROR(__xludf.DUMMYFUNCTION("IMPORTRANGE(""https://docs.google.com/spreadsheets/d/11923uPwbBZFjjGgGUA6NLw09EwE0CqkOc4q9oUmW1yo/edit?usp=sharing"",""พะเยา!J420"")"),0)</f>
        <v>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IFERROR(__xludf.DUMMYFUNCTION("IMPORTRANGE(""https://docs.google.com/spreadsheets/d/11923uPwbBZFjjGgGUA6NLw09EwE0CqkOc4q9oUmW1yo/edit?usp=sharing"",""พะเยา!J421"")"),0)</f>
        <v>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54.338963308095515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IFERROR(__xludf.DUMMYFUNCTION("IMPORTRANGE(""https://docs.google.com/spreadsheets/d/11923uPwbBZFjjGgGUA6NLw09EwE0CqkOc4q9oUmW1yo/edit?usp=sharing"",""พะเยา!J459"")"),3721)</f>
        <v>3721</v>
      </c>
      <c r="K564" s="371">
        <f ca="1">IF(I564&gt;0,J564*100/I564,0)</f>
        <v>190.82051282051282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IFERROR(__xludf.DUMMYFUNCTION("IMPORTRANGE(""https://docs.google.com/spreadsheets/d/11923uPwbBZFjjGgGUA6NLw09EwE0CqkOc4q9oUmW1yo/edit?usp=sharing"",""พะเยา!M459"")"),103291)</f>
        <v>103291</v>
      </c>
      <c r="O564" s="372">
        <f t="shared" ref="O564:O568" ca="1" si="122">+IF(L564&gt;0,N564*100/L564,0)</f>
        <v>72.617407199100114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IFERROR(__xludf.DUMMYFUNCTION("IMPORTRANGE(""https://docs.google.com/spreadsheets/d/11923uPwbBZFjjGgGUA6NLw09EwE0CqkOc4q9oUmW1yo/edit?usp=sharing"",""พะเยา!M461"")"),103291)</f>
        <v>103291</v>
      </c>
      <c r="O566" s="168">
        <f t="shared" ca="1" si="122"/>
        <v>72.617407199100114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IFERROR(__xludf.DUMMYFUNCTION("IMPORTRANGE(""https://docs.google.com/spreadsheets/d/11923uPwbBZFjjGgGUA6NLw09EwE0CqkOc4q9oUmW1yo/edit?usp=sharing"",""พะเยา!M463"")"),103291)</f>
        <v>103291</v>
      </c>
      <c r="O568" s="168">
        <f t="shared" ca="1" si="122"/>
        <v>72.617407199100114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IFERROR(__xludf.DUMMYFUNCTION("IMPORTRANGE(""https://docs.google.com/spreadsheets/d/11923uPwbBZFjjGgGUA6NLw09EwE0CqkOc4q9oUmW1yo/edit?usp=sharing"",""พะเยา!M466"")"),64899)</f>
        <v>64899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IFERROR(__xludf.DUMMYFUNCTION("IMPORTRANGE(""https://docs.google.com/spreadsheets/d/11923uPwbBZFjjGgGUA6NLw09EwE0CqkOc4q9oUmW1yo/edit?usp=sharing"",""พะเยา!M467"")"),38392)</f>
        <v>38392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IFERROR(__xludf.DUMMYFUNCTION("IMPORTRANGE(""https://docs.google.com/spreadsheets/d/11923uPwbBZFjjGgGUA6NLw09EwE0CqkOc4q9oUmW1yo/edit?usp=sharing"",""พะเยา!J468"")"),3721)</f>
        <v>3721</v>
      </c>
      <c r="K573" s="201">
        <f ca="1">IF(I573&gt;0,J573*100/I573,0)</f>
        <v>190.82051282051282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IFERROR(__xludf.DUMMYFUNCTION("IMPORTRANGE(""https://docs.google.com/spreadsheets/d/11923uPwbBZFjjGgGUA6NLw09EwE0CqkOc4q9oUmW1yo/edit?usp=sharing"",""พะเยา!J471"")"),494)</f>
        <v>494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IFERROR(__xludf.DUMMYFUNCTION("IMPORTRANGE(""https://docs.google.com/spreadsheets/d/11923uPwbBZFjjGgGUA6NLw09EwE0CqkOc4q9oUmW1yo/edit?usp=sharing"",""พะเยา!J472"")"),3227)</f>
        <v>3227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IFERROR(__xludf.DUMMYFUNCTION("IMPORTRANGE(""https://docs.google.com/spreadsheets/d/11923uPwbBZFjjGgGUA6NLw09EwE0CqkOc4q9oUmW1yo/edit?usp=sharing"",""พะเยา!J475"")"),18)</f>
        <v>18</v>
      </c>
      <c r="K580" s="371">
        <f ca="1">IF(I580&gt;0,J580*100/I580,0)</f>
        <v>45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IFERROR(__xludf.DUMMYFUNCTION("IMPORTRANGE(""https://docs.google.com/spreadsheets/d/11923uPwbBZFjjGgGUA6NLw09EwE0CqkOc4q9oUmW1yo/edit?usp=sharing"",""พะเยา!M475"")"),16060)</f>
        <v>16060</v>
      </c>
      <c r="O580" s="372">
        <f t="shared" ref="O580:O584" ca="1" si="124">+IF(L580&gt;0,N580*100/L580,0)</f>
        <v>11.567271679631229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IFERROR(__xludf.DUMMYFUNCTION("IMPORTRANGE(""https://docs.google.com/spreadsheets/d/11923uPwbBZFjjGgGUA6NLw09EwE0CqkOc4q9oUmW1yo/edit?usp=sharing"",""พะเยา!M477"")"),16060)</f>
        <v>16060</v>
      </c>
      <c r="O582" s="168">
        <f t="shared" ca="1" si="124"/>
        <v>11.567271679631229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IFERROR(__xludf.DUMMYFUNCTION("IMPORTRANGE(""https://docs.google.com/spreadsheets/d/11923uPwbBZFjjGgGUA6NLw09EwE0CqkOc4q9oUmW1yo/edit?usp=sharing"",""พะเยา!M479"")"),16060)</f>
        <v>16060</v>
      </c>
      <c r="O584" s="168">
        <f t="shared" ca="1" si="124"/>
        <v>11.567271679631229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IFERROR(__xludf.DUMMYFUNCTION("IMPORTRANGE(""https://docs.google.com/spreadsheets/d/11923uPwbBZFjjGgGUA6NLw09EwE0CqkOc4q9oUmW1yo/edit?usp=sharing"",""พะเยา!M483"")"),16060)</f>
        <v>16060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IFERROR(__xludf.DUMMYFUNCTION("IMPORTRANGE(""https://docs.google.com/spreadsheets/d/11923uPwbBZFjjGgGUA6NLw09EwE0CqkOc4q9oUmW1yo/edit?usp=sharing"",""พะเยา!J484"")"),52)</f>
        <v>52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IFERROR(__xludf.DUMMYFUNCTION("IMPORTRANGE(""https://docs.google.com/spreadsheets/d/11923uPwbBZFjjGgGUA6NLw09EwE0CqkOc4q9oUmW1yo/edit?usp=sharing"",""พะเยา!J485"")"),22.1)</f>
        <v>22.1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IFERROR(__xludf.DUMMYFUNCTION("IMPORTRANGE(""https://docs.google.com/spreadsheets/d/11923uPwbBZFjjGgGUA6NLw09EwE0CqkOc4q9oUmW1yo/edit?usp=sharing"",""พะเยา!J486"")"),16)</f>
        <v>16</v>
      </c>
      <c r="K591" s="163">
        <f t="shared" ca="1" si="125"/>
        <v>40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IFERROR(__xludf.DUMMYFUNCTION("IMPORTRANGE(""https://docs.google.com/spreadsheets/d/11923uPwbBZFjjGgGUA6NLw09EwE0CqkOc4q9oUmW1yo/edit?usp=sharing"",""พะเยา!J487"")"),8.17)</f>
        <v>8.17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IFERROR(__xludf.DUMMYFUNCTION("IMPORTRANGE(""https://docs.google.com/spreadsheets/d/11923uPwbBZFjjGgGUA6NLw09EwE0CqkOc4q9oUmW1yo/edit?usp=sharing"",""พะเยา!J490"")"),18)</f>
        <v>18</v>
      </c>
      <c r="K595" s="163">
        <f t="shared" ca="1" si="125"/>
        <v>45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IFERROR(__xludf.DUMMYFUNCTION("IMPORTRANGE(""https://docs.google.com/spreadsheets/d/11923uPwbBZFjjGgGUA6NLw09EwE0CqkOc4q9oUmW1yo/edit?usp=sharing"",""พะเยา!J491"")"),8.76)</f>
        <v>8.76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8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IFERROR(__xludf.DUMMYFUNCTION("IMPORTRANGE(""https://docs.google.com/spreadsheets/d/11923uPwbBZFjjGgGUA6NLw09EwE0CqkOc4q9oUmW1yo/edit?usp=sharing"",""พะเยา!L492"")"),14050)</f>
        <v>14050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14.946619217081851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14.946619217081851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14.946619217081851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IFERROR(__xludf.DUMMYFUNCTION("IMPORTRANGE(""https://docs.google.com/spreadsheets/d/11923uPwbBZFjjGgGUA6NLw09EwE0CqkOc4q9oUmW1yo/edit?usp=sharing"",""พะเยา!J523"")"),4414547.31)</f>
        <v>4414547.3099999996</v>
      </c>
      <c r="K628" s="342">
        <f t="shared" ref="K628:K635" ca="1" si="129">IF(I628&gt;0,J628*100/I628,0)</f>
        <v>91.976220140137002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IFERROR(__xludf.DUMMYFUNCTION("IMPORTRANGE(""https://docs.google.com/spreadsheets/d/11923uPwbBZFjjGgGUA6NLw09EwE0CqkOc4q9oUmW1yo/edit?usp=sharing"",""พะเยา!J524"")"),411)</f>
        <v>411</v>
      </c>
      <c r="K629" s="342">
        <f t="shared" ca="1" si="129"/>
        <v>90.528634361233486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IFERROR(__xludf.DUMMYFUNCTION("IMPORTRANGE(""https://docs.google.com/spreadsheets/d/11923uPwbBZFjjGgGUA6NLw09EwE0CqkOc4q9oUmW1yo/edit?usp=sharing"",""พะเยา!J525"")"),664865.17)</f>
        <v>664865.17000000004</v>
      </c>
      <c r="K630" s="342">
        <f t="shared" ca="1" si="129"/>
        <v>6.7020506977594918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IFERROR(__xludf.DUMMYFUNCTION("IMPORTRANGE(""https://docs.google.com/spreadsheets/d/11923uPwbBZFjjGgGUA6NLw09EwE0CqkOc4q9oUmW1yo/edit?usp=sharing"",""พะเยา!J526"")"),105)</f>
        <v>105</v>
      </c>
      <c r="K631" s="342">
        <f t="shared" ca="1" si="129"/>
        <v>31.626506024096386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IFERROR(__xludf.DUMMYFUNCTION("IMPORTRANGE(""https://docs.google.com/spreadsheets/d/11923uPwbBZFjjGgGUA6NLw09EwE0CqkOc4q9oUmW1yo/edit?usp=sharing"",""พะเยา!J527"")"),2100)</f>
        <v>2100</v>
      </c>
      <c r="K632" s="342">
        <f t="shared" ca="1" si="129"/>
        <v>3.3969781452984606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IFERROR(__xludf.DUMMYFUNCTION("IMPORTRANGE(""https://docs.google.com/spreadsheets/d/11923uPwbBZFjjGgGUA6NLw09EwE0CqkOc4q9oUmW1yo/edit?usp=sharing"",""พะเยา!J528"")"),2)</f>
        <v>2</v>
      </c>
      <c r="K633" s="342">
        <f t="shared" ca="1" si="129"/>
        <v>1.8691588785046729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IFERROR(__xludf.DUMMYFUNCTION("IMPORTRANGE(""https://docs.google.com/spreadsheets/d/11923uPwbBZFjjGgGUA6NLw09EwE0CqkOc4q9oUmW1yo/edit?usp=sharing"",""พะเยา!J529"")"),4730000)</f>
        <v>4730000</v>
      </c>
      <c r="K634" s="342">
        <f t="shared" ca="1" si="129"/>
        <v>78.833333333333329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IFERROR(__xludf.DUMMYFUNCTION("IMPORTRANGE(""https://docs.google.com/spreadsheets/d/11923uPwbBZFjjGgGUA6NLw09EwE0CqkOc4q9oUmW1yo/edit?usp=sharing"",""พะเยา!I530"")"),120)</f>
        <v>120</v>
      </c>
      <c r="J635" s="505">
        <f ca="1">IFERROR(__xludf.DUMMYFUNCTION("IMPORTRANGE(""https://docs.google.com/spreadsheets/d/11923uPwbBZFjjGgGUA6NLw09EwE0CqkOc4q9oUmW1yo/edit?usp=sharing"",""พะเยา!J530"")"),97)</f>
        <v>97</v>
      </c>
      <c r="K635" s="487">
        <f t="shared" ca="1" si="129"/>
        <v>80.833333333333329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IFERROR(__xludf.DUMMYFUNCTION("IMPORTRANGE(""https://docs.google.com/spreadsheets/d/11923uPwbBZFjjGgGUA6NLw09EwE0CqkOc4q9oUmW1yo/edit?usp=sharing"",""พะเยา!J541"")"),0)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IFERROR(__xludf.DUMMYFUNCTION("IMPORTRANGE(""https://docs.google.com/spreadsheets/d/11923uPwbBZFjjGgGUA6NLw09EwE0CqkOc4q9oUmW1yo/edit?usp=sharing"",""พะเยา!J542"")"),0)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IFERROR(__xludf.DUMMYFUNCTION("IMPORTRANGE(""https://docs.google.com/spreadsheets/d/11923uPwbBZFjjGgGUA6NLw09EwE0CqkOc4q9oUmW1yo/edit?usp=sharing"",""พะเยา!I543"")"),0)</f>
        <v>0</v>
      </c>
      <c r="J648" s="536">
        <f ca="1">IFERROR(__xludf.DUMMYFUNCTION("IMPORTRANGE(""https://docs.google.com/spreadsheets/d/11923uPwbBZFjjGgGUA6NLw09EwE0CqkOc4q9oUmW1yo/edit?usp=sharing"",""พะเยา!J543"")"),0)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IFERROR(__xludf.DUMMYFUNCTION("IMPORTRANGE(""https://docs.google.com/spreadsheets/d/11923uPwbBZFjjGgGUA6NLw09EwE0CqkOc4q9oUmW1yo/edit?usp=sharing"",""พะเยา!L543"")"),0)</f>
        <v>0</v>
      </c>
      <c r="M648" s="521"/>
      <c r="N648" s="538">
        <f ca="1">IFERROR(__xludf.DUMMYFUNCTION("IMPORTRANGE(""https://docs.google.com/spreadsheets/d/11923uPwbBZFjjGgGUA6NLw09EwE0CqkOc4q9oUmW1yo/edit?usp=sharing"",""พะเยา!M543"")"),0)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IFERROR(__xludf.DUMMYFUNCTION("IMPORTRANGE(""https://docs.google.com/spreadsheets/d/11923uPwbBZFjjGgGUA6NLw09EwE0CqkOc4q9oUmW1yo/edit?usp=sharing"",""พะเยา!I544"")"),0)</f>
        <v>0</v>
      </c>
      <c r="J649" s="536">
        <f ca="1">IFERROR(__xludf.DUMMYFUNCTION("IMPORTRANGE(""https://docs.google.com/spreadsheets/d/11923uPwbBZFjjGgGUA6NLw09EwE0CqkOc4q9oUmW1yo/edit?usp=sharing"",""พะเยา!J544"")"),0)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IFERROR(__xludf.DUMMYFUNCTION("IMPORTRANGE(""https://docs.google.com/spreadsheets/d/11923uPwbBZFjjGgGUA6NLw09EwE0CqkOc4q9oUmW1yo/edit?usp=sharing"",""พะเยา!L544"")"),0)</f>
        <v>0</v>
      </c>
      <c r="M649" s="521"/>
      <c r="N649" s="538">
        <f ca="1">IFERROR(__xludf.DUMMYFUNCTION("IMPORTRANGE(""https://docs.google.com/spreadsheets/d/11923uPwbBZFjjGgGUA6NLw09EwE0CqkOc4q9oUmW1yo/edit?usp=sharing"",""พะเยา!M544"")"),0)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IFERROR(__xludf.DUMMYFUNCTION("IMPORTRANGE(""https://docs.google.com/spreadsheets/d/11923uPwbBZFjjGgGUA6NLw09EwE0CqkOc4q9oUmW1yo/edit?usp=sharing"",""พะเยา!I545"")"),0)</f>
        <v>0</v>
      </c>
      <c r="J650" s="536">
        <f ca="1">IFERROR(__xludf.DUMMYFUNCTION("IMPORTRANGE(""https://docs.google.com/spreadsheets/d/11923uPwbBZFjjGgGUA6NLw09EwE0CqkOc4q9oUmW1yo/edit?usp=sharing"",""พะเยา!J545"")"),0)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IFERROR(__xludf.DUMMYFUNCTION("IMPORTRANGE(""https://docs.google.com/spreadsheets/d/11923uPwbBZFjjGgGUA6NLw09EwE0CqkOc4q9oUmW1yo/edit?usp=sharing"",""พะเยา!L545"")"),0)</f>
        <v>0</v>
      </c>
      <c r="M650" s="521"/>
      <c r="N650" s="538">
        <f ca="1">IFERROR(__xludf.DUMMYFUNCTION("IMPORTRANGE(""https://docs.google.com/spreadsheets/d/11923uPwbBZFjjGgGUA6NLw09EwE0CqkOc4q9oUmW1yo/edit?usp=sharing"",""พะเยา!M545"")"),0)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IFERROR(__xludf.DUMMYFUNCTION("IMPORTRANGE(""https://docs.google.com/spreadsheets/d/11923uPwbBZFjjGgGUA6NLw09EwE0CqkOc4q9oUmW1yo/edit?usp=sharing"",""พะเยา!I546"")"),0)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IFERROR(__xludf.DUMMYFUNCTION("IMPORTRANGE(""https://docs.google.com/spreadsheets/d/11923uPwbBZFjjGgGUA6NLw09EwE0CqkOc4q9oUmW1yo/edit?usp=sharing"",""พะเยา!L546"")"),0)</f>
        <v>0</v>
      </c>
      <c r="M651" s="521"/>
      <c r="N651" s="538">
        <f ca="1">IFERROR(__xludf.DUMMYFUNCTION("IMPORTRANGE(""https://docs.google.com/spreadsheets/d/11923uPwbBZFjjGgGUA6NLw09EwE0CqkOc4q9oUmW1yo/edit?usp=sharing"",""พะเยา!M546"")"),0)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IFERROR(__xludf.DUMMYFUNCTION("IMPORTRANGE(""https://docs.google.com/spreadsheets/d/11923uPwbBZFjjGgGUA6NLw09EwE0CqkOc4q9oUmW1yo/edit?usp=sharing"",""พะเยา!J547"")"),0)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IFERROR(__xludf.DUMMYFUNCTION("IMPORTRANGE(""https://docs.google.com/spreadsheets/d/11923uPwbBZFjjGgGUA6NLw09EwE0CqkOc4q9oUmW1yo/edit?usp=sharing"",""พะเยา!J548"")"),0)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IFERROR(__xludf.DUMMYFUNCTION("IMPORTRANGE(""https://docs.google.com/spreadsheets/d/11923uPwbBZFjjGgGUA6NLw09EwE0CqkOc4q9oUmW1yo/edit?usp=sharing"",""พะเยา!J550"")"),0)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IFERROR(__xludf.DUMMYFUNCTION("IMPORTRANGE(""https://docs.google.com/spreadsheets/d/11923uPwbBZFjjGgGUA6NLw09EwE0CqkOc4q9oUmW1yo/edit?usp=sharing"",""พะเยา!J551"")"),0)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IFERROR(__xludf.DUMMYFUNCTION("IMPORTRANGE(""https://docs.google.com/spreadsheets/d/11923uPwbBZFjjGgGUA6NLw09EwE0CqkOc4q9oUmW1yo/edit?usp=sharing"",""พะเยา!J552"")"),0)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IFERROR(__xludf.DUMMYFUNCTION("IMPORTRANGE(""https://docs.google.com/spreadsheets/d/11923uPwbBZFjjGgGUA6NLw09EwE0CqkOc4q9oUmW1yo/edit?usp=sharing"",""พะเยา!J553"")"),0)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IFERROR(__xludf.DUMMYFUNCTION("IMPORTRANGE(""https://docs.google.com/spreadsheets/d/11923uPwbBZFjjGgGUA6NLw09EwE0CqkOc4q9oUmW1yo/edit?usp=sharing"",""พะเยา!J554"")"),0)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IFERROR(__xludf.DUMMYFUNCTION("IMPORTRANGE(""https://docs.google.com/spreadsheets/d/11923uPwbBZFjjGgGUA6NLw09EwE0CqkOc4q9oUmW1yo/edit?usp=sharing"",""พะเยา!J555"")"),0)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IFERROR(__xludf.DUMMYFUNCTION("IMPORTRANGE(""https://docs.google.com/spreadsheets/d/11923uPwbBZFjjGgGUA6NLw09EwE0CqkOc4q9oUmW1yo/edit?usp=sharing"",""พะเยา!J556"")"),0)</f>
        <v>0</v>
      </c>
      <c r="K661" s="537"/>
      <c r="L661" s="522">
        <f ca="1">IFERROR(__xludf.DUMMYFUNCTION("IMPORTRANGE(""https://docs.google.com/spreadsheets/d/11923uPwbBZFjjGgGUA6NLw09EwE0CqkOc4q9oUmW1yo/edit?usp=sharing"",""พะเยา!L556"")"),0)</f>
        <v>0</v>
      </c>
      <c r="M661" s="521"/>
      <c r="N661" s="538">
        <f ca="1">IFERROR(__xludf.DUMMYFUNCTION("IMPORTRANGE(""https://docs.google.com/spreadsheets/d/11923uPwbBZFjjGgGUA6NLw09EwE0CqkOc4q9oUmW1yo/edit?usp=sharing"",""พะเยา!M556"")"),0)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IFERROR(__xludf.DUMMYFUNCTION("IMPORTRANGE(""https://docs.google.com/spreadsheets/d/11923uPwbBZFjjGgGUA6NLw09EwE0CqkOc4q9oUmW1yo/edit?usp=sharing"",""พะเยา!J557"")"),0)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IFERROR(__xludf.DUMMYFUNCTION("IMPORTRANGE(""https://docs.google.com/spreadsheets/d/11923uPwbBZFjjGgGUA6NLw09EwE0CqkOc4q9oUmW1yo/edit?usp=sharing"",""พะเยา!I558"")"),0)</f>
        <v>0</v>
      </c>
      <c r="J663" s="536">
        <f ca="1">IFERROR(__xludf.DUMMYFUNCTION("IMPORTRANGE(""https://docs.google.com/spreadsheets/d/11923uPwbBZFjjGgGUA6NLw09EwE0CqkOc4q9oUmW1yo/edit?usp=sharing"",""พะเยา!J558"")"),0)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IFERROR(__xludf.DUMMYFUNCTION("IMPORTRANGE(""https://docs.google.com/spreadsheets/d/11923uPwbBZFjjGgGUA6NLw09EwE0CqkOc4q9oUmW1yo/edit?usp=sharing"",""พะเยา!I560"")"),0)</f>
        <v>0</v>
      </c>
      <c r="J665" s="536">
        <f ca="1">IFERROR(__xludf.DUMMYFUNCTION("IMPORTRANGE(""https://docs.google.com/spreadsheets/d/11923uPwbBZFjjGgGUA6NLw09EwE0CqkOc4q9oUmW1yo/edit?usp=sharing"",""พะเยา!J560"")"),0)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IFERROR(__xludf.DUMMYFUNCTION("IMPORTRANGE(""https://docs.google.com/spreadsheets/d/11923uPwbBZFjjGgGUA6NLw09EwE0CqkOc4q9oUmW1yo/edit?usp=sharing"",""พะเยา!L560"")"),0)</f>
        <v>0</v>
      </c>
      <c r="M665" s="521"/>
      <c r="N665" s="538">
        <f ca="1">IFERROR(__xludf.DUMMYFUNCTION("IMPORTRANGE(""https://docs.google.com/spreadsheets/d/11923uPwbBZFjjGgGUA6NLw09EwE0CqkOc4q9oUmW1yo/edit?usp=sharing"",""พะเยา!M560"")"),0)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IFERROR(__xludf.DUMMYFUNCTION("IMPORTRANGE(""https://docs.google.com/spreadsheets/d/11923uPwbBZFjjGgGUA6NLw09EwE0CqkOc4q9oUmW1yo/edit?usp=sharing"",""พะเยา!J561"")"),0)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IFERROR(__xludf.DUMMYFUNCTION("IMPORTRANGE(""https://docs.google.com/spreadsheets/d/11923uPwbBZFjjGgGUA6NLw09EwE0CqkOc4q9oUmW1yo/edit?usp=sharing"",""พะเยา!J562"")"),0)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IFERROR(__xludf.DUMMYFUNCTION("IMPORTRANGE(""https://docs.google.com/spreadsheets/d/11923uPwbBZFjjGgGUA6NLw09EwE0CqkOc4q9oUmW1yo/edit?usp=sharing"",""พะเยา!I563"")"),0)</f>
        <v>0</v>
      </c>
      <c r="J668" s="536">
        <f ca="1">IFERROR(__xludf.DUMMYFUNCTION("IMPORTRANGE(""https://docs.google.com/spreadsheets/d/11923uPwbBZFjjGgGUA6NLw09EwE0CqkOc4q9oUmW1yo/edit?usp=sharing"",""พะเยา!J563"")"),0)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IFERROR(__xludf.DUMMYFUNCTION("IMPORTRANGE(""https://docs.google.com/spreadsheets/d/11923uPwbBZFjjGgGUA6NLw09EwE0CqkOc4q9oUmW1yo/edit?usp=sharing"",""พะเยา!L563"")"),0)</f>
        <v>0</v>
      </c>
      <c r="M668" s="521"/>
      <c r="N668" s="538">
        <f ca="1">IFERROR(__xludf.DUMMYFUNCTION("IMPORTRANGE(""https://docs.google.com/spreadsheets/d/11923uPwbBZFjjGgGUA6NLw09EwE0CqkOc4q9oUmW1yo/edit?usp=sharing"",""พะเยา!M563"")"),0)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IFERROR(__xludf.DUMMYFUNCTION("IMPORTRANGE(""https://docs.google.com/spreadsheets/d/11923uPwbBZFjjGgGUA6NLw09EwE0CqkOc4q9oUmW1yo/edit?usp=sharing"",""พะเยา!J564"")"),0)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IFERROR(__xludf.DUMMYFUNCTION("IMPORTRANGE(""https://docs.google.com/spreadsheets/d/11923uPwbBZFjjGgGUA6NLw09EwE0CqkOc4q9oUmW1yo/edit?usp=sharing"",""พะเยา!J565"")"),0)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IFERROR(__xludf.DUMMYFUNCTION("IMPORTRANGE(""https://docs.google.com/spreadsheets/d/11923uPwbBZFjjGgGUA6NLw09EwE0CqkOc4q9oUmW1yo/edit?usp=sharing"",""พะเยา!I566"")"),0)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IFERROR(__xludf.DUMMYFUNCTION("IMPORTRANGE(""https://docs.google.com/spreadsheets/d/11923uPwbBZFjjGgGUA6NLw09EwE0CqkOc4q9oUmW1yo/edit?usp=sharing"",""พะเยา!L566"")"),0)</f>
        <v>0</v>
      </c>
      <c r="M671" s="521"/>
      <c r="N671" s="538">
        <f ca="1">IFERROR(__xludf.DUMMYFUNCTION("IMPORTRANGE(""https://docs.google.com/spreadsheets/d/11923uPwbBZFjjGgGUA6NLw09EwE0CqkOc4q9oUmW1yo/edit?usp=sharing"",""พะเยา!M566"")"),0)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IFERROR(__xludf.DUMMYFUNCTION("IMPORTRANGE(""https://docs.google.com/spreadsheets/d/11923uPwbBZFjjGgGUA6NLw09EwE0CqkOc4q9oUmW1yo/edit?usp=sharing"",""พะเยา!J567"")"),0)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IFERROR(__xludf.DUMMYFUNCTION("IMPORTRANGE(""https://docs.google.com/spreadsheets/d/11923uPwbBZFjjGgGUA6NLw09EwE0CqkOc4q9oUmW1yo/edit?usp=sharing"",""พะเยา!J568"")"),0)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IFERROR(__xludf.DUMMYFUNCTION("IMPORTRANGE(""https://docs.google.com/spreadsheets/d/11923uPwbBZFjjGgGUA6NLw09EwE0CqkOc4q9oUmW1yo/edit?usp=sharing"",""พะเยา!J569"")"),0)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IFERROR(__xludf.DUMMYFUNCTION("IMPORTRANGE(""https://docs.google.com/spreadsheets/d/11923uPwbBZFjjGgGUA6NLw09EwE0CqkOc4q9oUmW1yo/edit?usp=sharing"",""พะเยา!J570"")"),0)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IFERROR(__xludf.DUMMYFUNCTION("IMPORTRANGE(""https://docs.google.com/spreadsheets/d/11923uPwbBZFjjGgGUA6NLw09EwE0CqkOc4q9oUmW1yo/edit?usp=sharing"",""พะเยา!J571"")"),0)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IFERROR(__xludf.DUMMYFUNCTION("IMPORTRANGE(""https://docs.google.com/spreadsheets/d/11923uPwbBZFjjGgGUA6NLw09EwE0CqkOc4q9oUmW1yo/edit?usp=sharing"",""พะเยา!J572"")"),0)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ht="18" customHeight="1" x14ac:dyDescent="0.25">
      <c r="A2" s="578" t="s">
        <v>274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</row>
    <row r="3" spans="1:16" ht="18" customHeight="1" x14ac:dyDescent="0.25">
      <c r="A3" s="578" t="s">
        <v>294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1"/>
      <c r="C7" s="571"/>
      <c r="D7" s="571"/>
      <c r="E7" s="571"/>
      <c r="F7" s="571"/>
      <c r="G7" s="572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6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4760319</v>
      </c>
      <c r="M8" s="23">
        <f t="shared" ca="1" si="0"/>
        <v>2727266.39</v>
      </c>
      <c r="N8" s="23">
        <f t="shared" ca="1" si="0"/>
        <v>3336444.5700000003</v>
      </c>
      <c r="O8" s="22">
        <f t="shared" ref="O8:O16" ca="1" si="1">IF(L8&gt;0,N8*100/L8,0)</f>
        <v>70.088676200061386</v>
      </c>
      <c r="P8" s="22">
        <f t="shared" ref="P8:P16" ca="1" si="2">IF(M8&gt;0,N8*100/M8,0)</f>
        <v>122.33658516944507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4760319</v>
      </c>
      <c r="M10" s="30">
        <f t="shared" ca="1" si="4"/>
        <v>2727266.39</v>
      </c>
      <c r="N10" s="30">
        <f t="shared" ca="1" si="4"/>
        <v>3336444.5700000003</v>
      </c>
      <c r="O10" s="29">
        <f t="shared" ca="1" si="1"/>
        <v>70.088676200061386</v>
      </c>
      <c r="P10" s="29">
        <f t="shared" ca="1" si="2"/>
        <v>122.33658516944507</v>
      </c>
    </row>
    <row r="11" spans="1:16" ht="21.75" customHeight="1" x14ac:dyDescent="0.3">
      <c r="A11" s="31"/>
      <c r="B11" s="32"/>
      <c r="C11" s="33" t="s">
        <v>16</v>
      </c>
      <c r="D11" s="569" t="s">
        <v>20</v>
      </c>
      <c r="E11" s="564"/>
      <c r="F11" s="564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4684719</v>
      </c>
      <c r="M12" s="39">
        <f t="shared" ca="1" si="6"/>
        <v>2651666.39</v>
      </c>
      <c r="N12" s="39">
        <f t="shared" ca="1" si="6"/>
        <v>3260844.5700000003</v>
      </c>
      <c r="O12" s="39">
        <f t="shared" ca="1" si="1"/>
        <v>69.605979995811921</v>
      </c>
      <c r="P12" s="39">
        <f t="shared" ca="1" si="2"/>
        <v>122.97340956227906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2124700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2560019</v>
      </c>
      <c r="M14" s="39">
        <f t="shared" si="8"/>
        <v>0</v>
      </c>
      <c r="N14" s="39">
        <f t="shared" ca="1" si="8"/>
        <v>1220099.8</v>
      </c>
      <c r="O14" s="39">
        <f t="shared" ca="1" si="1"/>
        <v>47.659794712461121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9" t="s">
        <v>23</v>
      </c>
      <c r="E15" s="564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75600</v>
      </c>
      <c r="M16" s="39">
        <f t="shared" ca="1" si="10"/>
        <v>75600</v>
      </c>
      <c r="N16" s="39">
        <f t="shared" ca="1" si="10"/>
        <v>75600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5" t="s">
        <v>24</v>
      </c>
      <c r="B17" s="571"/>
      <c r="C17" s="571"/>
      <c r="D17" s="571"/>
      <c r="E17" s="571"/>
      <c r="F17" s="571"/>
      <c r="G17" s="572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6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2741772</v>
      </c>
      <c r="M18" s="23">
        <f t="shared" ca="1" si="11"/>
        <v>2727266.39</v>
      </c>
      <c r="N18" s="23">
        <f t="shared" ca="1" si="11"/>
        <v>2116344.77</v>
      </c>
      <c r="O18" s="22">
        <f t="shared" ref="O18:O20" ca="1" si="12">IF(L18&gt;0,N18*100/L18,0)</f>
        <v>77.188940947679086</v>
      </c>
      <c r="P18" s="22">
        <f t="shared" ref="P18:P26" ca="1" si="13">IF(M18&gt;0,N18*100/M18,0)</f>
        <v>77.599488548678224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2741772</v>
      </c>
      <c r="M20" s="30">
        <f t="shared" ca="1" si="15"/>
        <v>2727266.39</v>
      </c>
      <c r="N20" s="30">
        <f t="shared" ca="1" si="15"/>
        <v>2116344.77</v>
      </c>
      <c r="O20" s="29">
        <f t="shared" ca="1" si="12"/>
        <v>77.188940947679086</v>
      </c>
      <c r="P20" s="29">
        <f t="shared" ca="1" si="13"/>
        <v>77.599488548678224</v>
      </c>
    </row>
    <row r="21" spans="1:16" ht="21.75" customHeight="1" x14ac:dyDescent="0.3">
      <c r="A21" s="31"/>
      <c r="B21" s="32"/>
      <c r="C21" s="33" t="s">
        <v>16</v>
      </c>
      <c r="D21" s="569" t="s">
        <v>20</v>
      </c>
      <c r="E21" s="564"/>
      <c r="F21" s="564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2666172</v>
      </c>
      <c r="M22" s="42">
        <f t="shared" ca="1" si="18"/>
        <v>2651666.39</v>
      </c>
      <c r="N22" s="39">
        <f t="shared" ca="1" si="18"/>
        <v>2040744.77</v>
      </c>
      <c r="O22" s="39">
        <f t="shared" ca="1" si="17"/>
        <v>76.542127439640055</v>
      </c>
      <c r="P22" s="39">
        <f t="shared" ca="1" si="13"/>
        <v>76.960841593651608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2124700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541472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9" t="s">
        <v>23</v>
      </c>
      <c r="E25" s="564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75600</v>
      </c>
      <c r="M26" s="50">
        <f t="shared" ca="1" si="22"/>
        <v>75600</v>
      </c>
      <c r="N26" s="50">
        <f t="shared" ca="1" si="22"/>
        <v>75600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5" t="s">
        <v>25</v>
      </c>
      <c r="B27" s="571"/>
      <c r="C27" s="571"/>
      <c r="D27" s="571"/>
      <c r="E27" s="571"/>
      <c r="F27" s="571"/>
      <c r="G27" s="572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6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2018547</v>
      </c>
      <c r="M28" s="23">
        <f t="shared" si="23"/>
        <v>0</v>
      </c>
      <c r="N28" s="23">
        <f t="shared" ca="1" si="23"/>
        <v>1220099.8</v>
      </c>
      <c r="O28" s="22">
        <f t="shared" ref="O28:O30" ca="1" si="24">IF(L28&gt;0,N28*100/L28,0)</f>
        <v>60.444458315808355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2018547</v>
      </c>
      <c r="M30" s="30">
        <f t="shared" si="27"/>
        <v>0</v>
      </c>
      <c r="N30" s="30">
        <f t="shared" ca="1" si="27"/>
        <v>1220099.8</v>
      </c>
      <c r="O30" s="29">
        <f t="shared" ca="1" si="24"/>
        <v>60.444458315808355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9" t="s">
        <v>20</v>
      </c>
      <c r="E31" s="564"/>
      <c r="F31" s="564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2018547</v>
      </c>
      <c r="M32" s="39">
        <f t="shared" si="30"/>
        <v>0</v>
      </c>
      <c r="N32" s="39">
        <f t="shared" ca="1" si="30"/>
        <v>1220099.8</v>
      </c>
      <c r="O32" s="39">
        <f t="shared" ca="1" si="29"/>
        <v>60.444458315808355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2018547</v>
      </c>
      <c r="M34" s="39">
        <f t="shared" si="32"/>
        <v>0</v>
      </c>
      <c r="N34" s="39">
        <f t="shared" ca="1" si="32"/>
        <v>1220099.8</v>
      </c>
      <c r="O34" s="39">
        <f t="shared" ca="1" si="29"/>
        <v>60.444458315808355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9" t="s">
        <v>23</v>
      </c>
      <c r="E35" s="564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2741772</v>
      </c>
      <c r="M37" s="55">
        <f t="shared" ca="1" si="33"/>
        <v>2727266.39</v>
      </c>
      <c r="N37" s="55">
        <f t="shared" ca="1" si="33"/>
        <v>2116344.77</v>
      </c>
      <c r="O37" s="56">
        <f t="shared" ca="1" si="29"/>
        <v>77.188940947679086</v>
      </c>
      <c r="P37" s="56">
        <f t="shared" ca="1" si="25"/>
        <v>77.599488548678224</v>
      </c>
    </row>
    <row r="38" spans="1:16" ht="21.75" customHeight="1" x14ac:dyDescent="0.3">
      <c r="A38" s="570" t="s">
        <v>27</v>
      </c>
      <c r="B38" s="571"/>
      <c r="C38" s="571"/>
      <c r="D38" s="571"/>
      <c r="E38" s="571"/>
      <c r="F38" s="571"/>
      <c r="G38" s="572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3" t="s">
        <v>28</v>
      </c>
      <c r="C39" s="566"/>
      <c r="D39" s="566"/>
      <c r="E39" s="566"/>
      <c r="F39" s="566"/>
      <c r="G39" s="56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4" t="s">
        <v>17</v>
      </c>
      <c r="E41" s="564"/>
      <c r="F41" s="564"/>
      <c r="G41" s="564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658100</v>
      </c>
      <c r="N41" s="79">
        <f t="shared" ca="1" si="34"/>
        <v>579702.49</v>
      </c>
      <c r="O41" s="78">
        <f t="shared" ref="O41:O43" ca="1" si="35">IF(L41&gt;0,N41*100/L41,0)</f>
        <v>88.087295243883915</v>
      </c>
      <c r="P41" s="78">
        <f t="shared" ref="P41:P43" ca="1" si="36">IF(M41&gt;0,N41*100/M41,0)</f>
        <v>88.087295243883915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658100</v>
      </c>
      <c r="N43" s="79">
        <f t="shared" ca="1" si="38"/>
        <v>579702.49</v>
      </c>
      <c r="O43" s="78">
        <f t="shared" ca="1" si="35"/>
        <v>88.087295243883915</v>
      </c>
      <c r="P43" s="78">
        <f t="shared" ca="1" si="36"/>
        <v>88.087295243883915</v>
      </c>
    </row>
    <row r="44" spans="1:16" ht="21.75" customHeight="1" x14ac:dyDescent="0.3">
      <c r="A44" s="80"/>
      <c r="B44" s="81"/>
      <c r="C44" s="82" t="s">
        <v>16</v>
      </c>
      <c r="D44" s="563" t="s">
        <v>20</v>
      </c>
      <c r="E44" s="564"/>
      <c r="F44" s="564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658100</v>
      </c>
      <c r="M45" s="50">
        <f ca="1">IFERROR(__xludf.DUMMYFUNCTION("IMPORTRANGE(""https://docs.google.com/spreadsheets/d/1Yj_ptqi66GCucihVvJfMjLAmec39IyEx_6qawtMGysU/edit?usp=sharing"",""สบก!Q27"")"),658100)</f>
        <v>658100</v>
      </c>
      <c r="N45" s="50">
        <f ca="1">IFERROR(__xludf.DUMMYFUNCTION("IMPORTRANGE(""https://docs.google.com/spreadsheets/d/1Yj_ptqi66GCucihVvJfMjLAmec39IyEx_6qawtMGysU/edit?usp=sharing"",""สบก!R27"")"),579702.49)</f>
        <v>579702.49</v>
      </c>
      <c r="O45" s="39">
        <f ca="1">IF(L45&gt;0,N45*100/L45,0)</f>
        <v>88.087295243883915</v>
      </c>
      <c r="P45" s="39">
        <f ca="1">IF(M45&gt;0,N45*100/M45,0)</f>
        <v>88.087295243883915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IFERROR(__xludf.DUMMYFUNCTION("IMPORTRANGE(""https://docs.google.com/spreadsheets/d/1Yj_ptqi66GCucihVvJfMjLAmec39IyEx_6qawtMGysU/edit?usp=sharing"",""สบก!M27"")"),658100)</f>
        <v>658100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3" t="s">
        <v>23</v>
      </c>
      <c r="E48" s="564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IFERROR(__xludf.DUMMYFUNCTION("IMPORTRANGE(""https://docs.google.com/spreadsheets/d/1Yj_ptqi66GCucihVvJfMjLAmec39IyEx_6qawtMGysU/edit?usp=sharing"",""สบก!O27"")"),0)</f>
        <v>0</v>
      </c>
      <c r="M49" s="50"/>
      <c r="N49" s="50">
        <f ca="1">IFERROR(__xludf.DUMMYFUNCTION("IMPORTRANGE(""https://docs.google.com/spreadsheets/d/1Yj_ptqi66GCucihVvJfMjLAmec39IyEx_6qawtMGysU/edit?usp=sharing"",""สบก!S27"")"),0)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7" t="s">
        <v>32</v>
      </c>
      <c r="C52" s="564"/>
      <c r="D52" s="564"/>
      <c r="E52" s="564"/>
      <c r="F52" s="564"/>
      <c r="G52" s="56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8" t="s">
        <v>17</v>
      </c>
      <c r="E53" s="564"/>
      <c r="F53" s="564"/>
      <c r="G53" s="564"/>
      <c r="H53" s="118" t="s">
        <v>12</v>
      </c>
      <c r="I53" s="119"/>
      <c r="J53" s="119"/>
      <c r="K53" s="120"/>
      <c r="L53" s="121">
        <f t="shared" ref="L53:N53" ca="1" si="39">L54+L55</f>
        <v>612000</v>
      </c>
      <c r="M53" s="121">
        <f t="shared" ca="1" si="39"/>
        <v>577888.39</v>
      </c>
      <c r="N53" s="121">
        <f t="shared" ca="1" si="39"/>
        <v>475888.39</v>
      </c>
      <c r="O53" s="120">
        <f t="shared" ref="O53:O55" ca="1" si="40">IF(L53&gt;0,N53*100/L53,0)</f>
        <v>77.759540849673201</v>
      </c>
      <c r="P53" s="120">
        <f t="shared" ref="P53:P55" ca="1" si="41">IF(M53&gt;0,N53*100/M53,0)</f>
        <v>82.349532926245502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612000</v>
      </c>
      <c r="M55" s="121">
        <f t="shared" ca="1" si="43"/>
        <v>577888.39</v>
      </c>
      <c r="N55" s="121">
        <f t="shared" ca="1" si="43"/>
        <v>475888.39</v>
      </c>
      <c r="O55" s="120">
        <f t="shared" ca="1" si="40"/>
        <v>77.759540849673201</v>
      </c>
      <c r="P55" s="120">
        <f t="shared" ca="1" si="41"/>
        <v>82.349532926245502</v>
      </c>
    </row>
    <row r="56" spans="1:16" ht="21.75" customHeight="1" x14ac:dyDescent="0.3">
      <c r="A56" s="80"/>
      <c r="B56" s="81"/>
      <c r="C56" s="82" t="s">
        <v>16</v>
      </c>
      <c r="D56" s="563" t="s">
        <v>20</v>
      </c>
      <c r="E56" s="564"/>
      <c r="F56" s="564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612000</v>
      </c>
      <c r="M57" s="50">
        <f ca="1">IFERROR(__xludf.DUMMYFUNCTION("IMPORTRANGE(""https://docs.google.com/spreadsheets/d/1Yj_ptqi66GCucihVvJfMjLAmec39IyEx_6qawtMGysU/edit?usp=sharing"",""สบก!Z27"")"),577888.39)</f>
        <v>577888.39</v>
      </c>
      <c r="N57" s="50">
        <f ca="1">IFERROR(__xludf.DUMMYFUNCTION("IMPORTRANGE(""https://docs.google.com/spreadsheets/d/1Yj_ptqi66GCucihVvJfMjLAmec39IyEx_6qawtMGysU/edit?usp=sharing"",""สบก!AA27"")"),475888.39)</f>
        <v>475888.39</v>
      </c>
      <c r="O57" s="39">
        <f ca="1">IF(L57&gt;0,N57*100/L57,0)</f>
        <v>77.759540849673201</v>
      </c>
      <c r="P57" s="39">
        <f ca="1">IF(M57&gt;0,N57*100/M57,0)</f>
        <v>82.349532926245502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IFERROR(__xludf.DUMMYFUNCTION("IMPORTRANGE(""https://docs.google.com/spreadsheets/d/1Yj_ptqi66GCucihVvJfMjLAmec39IyEx_6qawtMGysU/edit?usp=sharing"",""สบก!V27"")"),612000)</f>
        <v>612000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3" t="s">
        <v>23</v>
      </c>
      <c r="E60" s="564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69" t="s">
        <v>20</v>
      </c>
      <c r="E69" s="564"/>
      <c r="F69" s="56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3" t="s">
        <v>23</v>
      </c>
      <c r="E73" s="564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5" t="s">
        <v>17</v>
      </c>
      <c r="E94" s="566"/>
      <c r="F94" s="566"/>
      <c r="G94" s="566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69" t="s">
        <v>20</v>
      </c>
      <c r="E97" s="564"/>
      <c r="F97" s="56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3" t="s">
        <v>23</v>
      </c>
      <c r="E101" s="564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5" t="s">
        <v>17</v>
      </c>
      <c r="E118" s="566"/>
      <c r="F118" s="566"/>
      <c r="G118" s="566"/>
      <c r="H118" s="149" t="s">
        <v>12</v>
      </c>
      <c r="I118" s="162"/>
      <c r="J118" s="162"/>
      <c r="K118" s="163"/>
      <c r="L118" s="152">
        <f t="shared" ref="L118:N118" ca="1" si="58">L119+L120</f>
        <v>3607</v>
      </c>
      <c r="M118" s="152">
        <f t="shared" ca="1" si="58"/>
        <v>3607</v>
      </c>
      <c r="N118" s="152">
        <f t="shared" ca="1" si="58"/>
        <v>3607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3607</v>
      </c>
      <c r="M120" s="88">
        <f t="shared" ca="1" si="62"/>
        <v>3607</v>
      </c>
      <c r="N120" s="88">
        <f t="shared" ca="1" si="62"/>
        <v>3607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69" t="s">
        <v>20</v>
      </c>
      <c r="E121" s="564"/>
      <c r="F121" s="56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3607</v>
      </c>
      <c r="M122" s="167">
        <f ca="1">IFERROR(__xludf.DUMMYFUNCTION("IMPORTRANGE(""https://docs.google.com/spreadsheets/d/1Yj_ptqi66GCucihVvJfMjLAmec39IyEx_6qawtMGysU/edit?usp=sharing"",""สบก!BA27"")"),3607)</f>
        <v>3607</v>
      </c>
      <c r="N122" s="168">
        <f ca="1">IFERROR(__xludf.DUMMYFUNCTION("IMPORTRANGE(""https://docs.google.com/spreadsheets/d/1Yj_ptqi66GCucihVvJfMjLAmec39IyEx_6qawtMGysU/edit?usp=sharing"",""สบก!BB27"")"),3607)</f>
        <v>3607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IFERROR(__xludf.DUMMYFUNCTION("IMPORTRANGE(""https://docs.google.com/spreadsheets/d/1Yj_ptqi66GCucihVvJfMjLAmec39IyEx_6qawtMGysU/edit?usp=sharing"",""สบก!AX27"")"),3607)</f>
        <v>3607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3" t="s">
        <v>23</v>
      </c>
      <c r="E125" s="564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5" t="s">
        <v>17</v>
      </c>
      <c r="E140" s="566"/>
      <c r="F140" s="566"/>
      <c r="G140" s="566"/>
      <c r="H140" s="149" t="s">
        <v>12</v>
      </c>
      <c r="I140" s="162"/>
      <c r="J140" s="162"/>
      <c r="K140" s="163"/>
      <c r="L140" s="152">
        <f t="shared" ref="L140:N140" ca="1" si="64">L141+L142</f>
        <v>104600</v>
      </c>
      <c r="M140" s="152">
        <f t="shared" ca="1" si="64"/>
        <v>86506</v>
      </c>
      <c r="N140" s="152">
        <f t="shared" ca="1" si="64"/>
        <v>60980</v>
      </c>
      <c r="O140" s="151">
        <f t="shared" ref="O140:O142" ca="1" si="65">IF(L140&gt;0,N140*100/L140,0)</f>
        <v>58.298279158699806</v>
      </c>
      <c r="P140" s="151">
        <f t="shared" ref="P140:P142" ca="1" si="66">IF(M140&gt;0,N140*100/M140,0)</f>
        <v>70.492220192818991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104600</v>
      </c>
      <c r="M142" s="88">
        <f t="shared" ca="1" si="68"/>
        <v>86506</v>
      </c>
      <c r="N142" s="88">
        <f t="shared" ca="1" si="68"/>
        <v>60980</v>
      </c>
      <c r="O142" s="156">
        <f t="shared" ca="1" si="65"/>
        <v>58.298279158699806</v>
      </c>
      <c r="P142" s="156">
        <f t="shared" ca="1" si="66"/>
        <v>70.492220192818991</v>
      </c>
    </row>
    <row r="143" spans="1:16" ht="21.75" customHeight="1" x14ac:dyDescent="0.3">
      <c r="A143" s="157"/>
      <c r="B143" s="158"/>
      <c r="C143" s="158" t="s">
        <v>16</v>
      </c>
      <c r="D143" s="569" t="s">
        <v>20</v>
      </c>
      <c r="E143" s="564"/>
      <c r="F143" s="56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104600</v>
      </c>
      <c r="M144" s="167">
        <f ca="1">IFERROR(__xludf.DUMMYFUNCTION("IMPORTRANGE(""https://docs.google.com/spreadsheets/d/1Yj_ptqi66GCucihVvJfMjLAmec39IyEx_6qawtMGysU/edit?usp=sharing"",""สบก!BJ27"")"),86506)</f>
        <v>86506</v>
      </c>
      <c r="N144" s="168">
        <f ca="1">IFERROR(__xludf.DUMMYFUNCTION("IMPORTRANGE(""https://docs.google.com/spreadsheets/d/1Yj_ptqi66GCucihVvJfMjLAmec39IyEx_6qawtMGysU/edit?usp=sharing"",""สบก!BK27"")"),60980)</f>
        <v>60980</v>
      </c>
      <c r="O144" s="168">
        <f ca="1">IF(L144&gt;0,N144*100/L144,0)</f>
        <v>58.298279158699806</v>
      </c>
      <c r="P144" s="168">
        <f ca="1">IF(M144&gt;0,N144*100/M144,0)</f>
        <v>70.492220192818991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IFERROR(__xludf.DUMMYFUNCTION("IMPORTRANGE(""https://docs.google.com/spreadsheets/d/1Yj_ptqi66GCucihVvJfMjLAmec39IyEx_6qawtMGysU/edit?usp=sharing"",""สบก!BG27"")"),104600)</f>
        <v>104600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3" t="s">
        <v>23</v>
      </c>
      <c r="E147" s="564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5" t="s">
        <v>17</v>
      </c>
      <c r="E220" s="566"/>
      <c r="F220" s="566"/>
      <c r="G220" s="566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69" t="s">
        <v>20</v>
      </c>
      <c r="E223" s="564"/>
      <c r="F223" s="56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3" t="s">
        <v>23</v>
      </c>
      <c r="E227" s="564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5" t="s">
        <v>17</v>
      </c>
      <c r="E250" s="566"/>
      <c r="F250" s="566"/>
      <c r="G250" s="566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69" t="s">
        <v>20</v>
      </c>
      <c r="E253" s="564"/>
      <c r="F253" s="56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3" t="s">
        <v>23</v>
      </c>
      <c r="E257" s="564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5" t="s">
        <v>17</v>
      </c>
      <c r="E271" s="566"/>
      <c r="F271" s="566"/>
      <c r="G271" s="566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69" t="s">
        <v>20</v>
      </c>
      <c r="E274" s="564"/>
      <c r="F274" s="56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3" t="s">
        <v>23</v>
      </c>
      <c r="E278" s="564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5" t="s">
        <v>17</v>
      </c>
      <c r="E290" s="566"/>
      <c r="F290" s="566"/>
      <c r="G290" s="566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69" t="s">
        <v>20</v>
      </c>
      <c r="E293" s="564"/>
      <c r="F293" s="564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3" t="s">
        <v>23</v>
      </c>
      <c r="E297" s="564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69" t="s">
        <v>20</v>
      </c>
      <c r="E313" s="564"/>
      <c r="F313" s="56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3" t="s">
        <v>23</v>
      </c>
      <c r="E317" s="564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IFERROR(__xludf.DUMMYFUNCTION("IMPORTRANGE(""https://docs.google.com/spreadsheets/d/11923uPwbBZFjjGgGUA6NLw09EwE0CqkOc4q9oUmW1yo/edit?usp=sharing"",""พิจิตร!J228"")"),141)</f>
        <v>141</v>
      </c>
      <c r="K328" s="317">
        <f ca="1">IF(I328&gt;0,J328*100/I328,0)</f>
        <v>26.60377358490566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5" t="s">
        <v>17</v>
      </c>
      <c r="E329" s="566"/>
      <c r="F329" s="566"/>
      <c r="G329" s="566"/>
      <c r="H329" s="149" t="s">
        <v>12</v>
      </c>
      <c r="I329" s="162"/>
      <c r="J329" s="162"/>
      <c r="K329" s="163"/>
      <c r="L329" s="152">
        <f t="shared" ref="L329:N329" ca="1" si="98">L330+L331</f>
        <v>1342340</v>
      </c>
      <c r="M329" s="152">
        <f t="shared" ca="1" si="98"/>
        <v>1380040</v>
      </c>
      <c r="N329" s="152">
        <f t="shared" ca="1" si="98"/>
        <v>975041.89</v>
      </c>
      <c r="O329" s="151">
        <f t="shared" ref="O329:O331" ca="1" si="99">IF(L329&gt;0,N329*100/L329,0)</f>
        <v>72.637475602306424</v>
      </c>
      <c r="P329" s="151">
        <f t="shared" ref="P329:P331" ca="1" si="100">IF(M329&gt;0,N329*100/M329,0)</f>
        <v>70.65316150256514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1342340</v>
      </c>
      <c r="M331" s="88">
        <f t="shared" ca="1" si="102"/>
        <v>1380040</v>
      </c>
      <c r="N331" s="88">
        <f t="shared" ca="1" si="102"/>
        <v>975041.89</v>
      </c>
      <c r="O331" s="156">
        <f t="shared" ca="1" si="99"/>
        <v>72.637475602306424</v>
      </c>
      <c r="P331" s="156">
        <f t="shared" ca="1" si="100"/>
        <v>70.65316150256514</v>
      </c>
    </row>
    <row r="332" spans="1:16" ht="21.75" customHeight="1" x14ac:dyDescent="0.3">
      <c r="A332" s="157"/>
      <c r="B332" s="158"/>
      <c r="C332" s="158" t="s">
        <v>16</v>
      </c>
      <c r="D332" s="569" t="s">
        <v>20</v>
      </c>
      <c r="E332" s="564"/>
      <c r="F332" s="56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1266740</v>
      </c>
      <c r="M333" s="167">
        <f ca="1">IFERROR(__xludf.DUMMYFUNCTION("IMPORTRANGE(""https://docs.google.com/spreadsheets/d/1Yj_ptqi66GCucihVvJfMjLAmec39IyEx_6qawtMGysU/edit?usp=sharing"",""สบก!DL27"")"),1304440)</f>
        <v>1304440</v>
      </c>
      <c r="N333" s="168">
        <f ca="1">IFERROR(__xludf.DUMMYFUNCTION("IMPORTRANGE(""https://docs.google.com/spreadsheets/d/1Yj_ptqi66GCucihVvJfMjLAmec39IyEx_6qawtMGysU/edit?usp=sharing"",""สบก!DM27"")"),899441.89)</f>
        <v>899441.89</v>
      </c>
      <c r="O333" s="168">
        <f ca="1">IF(L333&gt;0,N333*100/L333,0)</f>
        <v>71.004459478661758</v>
      </c>
      <c r="P333" s="168">
        <f ca="1">IF(M333&gt;0,N333*100/M333,0)</f>
        <v>68.952338934715286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IFERROR(__xludf.DUMMYFUNCTION("IMPORTRANGE(""https://docs.google.com/spreadsheets/d/1Yj_ptqi66GCucihVvJfMjLAmec39IyEx_6qawtMGysU/edit?usp=sharing"",""สบก!DI27"")"),412140)</f>
        <v>412140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3" t="s">
        <v>23</v>
      </c>
      <c r="E336" s="564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IFERROR(__xludf.DUMMYFUNCTION("IMPORTRANGE(""https://docs.google.com/spreadsheets/d/11923uPwbBZFjjGgGUA6NLw09EwE0CqkOc4q9oUmW1yo/edit?usp=sharing"",""พิจิตร!J234"")"),95)</f>
        <v>95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IFERROR(__xludf.DUMMYFUNCTION("IMPORTRANGE(""https://docs.google.com/spreadsheets/d/11923uPwbBZFjjGgGUA6NLw09EwE0CqkOc4q9oUmW1yo/edit?usp=sharing"",""พิจิตร!J235"")"),938.67)</f>
        <v>938.67</v>
      </c>
      <c r="K340" s="342">
        <f t="shared" ca="1" si="103"/>
        <v>55.215882352941179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IFERROR(__xludf.DUMMYFUNCTION("IMPORTRANGE(""https://docs.google.com/spreadsheets/d/11923uPwbBZFjjGgGUA6NLw09EwE0CqkOc4q9oUmW1yo/edit?usp=sharing"",""พิจิตร!J236"")"),208)</f>
        <v>208</v>
      </c>
      <c r="K341" s="342">
        <f t="shared" ca="1" si="103"/>
        <v>39.245283018867923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IFERROR(__xludf.DUMMYFUNCTION("IMPORTRANGE(""https://docs.google.com/spreadsheets/d/11923uPwbBZFjjGgGUA6NLw09EwE0CqkOc4q9oUmW1yo/edit?usp=sharing"",""พิจิตร!J237"")"),2753.04999999999)</f>
        <v>2753.0499999999902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IFERROR(__xludf.DUMMYFUNCTION("IMPORTRANGE(""https://docs.google.com/spreadsheets/d/11923uPwbBZFjjGgGUA6NLw09EwE0CqkOc4q9oUmW1yo/edit?usp=sharing"",""พิจิตร!J240"")"),141)</f>
        <v>141</v>
      </c>
      <c r="K345" s="342">
        <f t="shared" ca="1" si="103"/>
        <v>26.60377358490566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IFERROR(__xludf.DUMMYFUNCTION("IMPORTRANGE(""https://docs.google.com/spreadsheets/d/11923uPwbBZFjjGgGUA6NLw09EwE0CqkOc4q9oUmW1yo/edit?usp=sharing"",""พิจิตร!J241"")"),1824.93)</f>
        <v>1824.93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IFERROR(__xludf.DUMMYFUNCTION("IMPORTRANGE(""https://docs.google.com/spreadsheets/d/11923uPwbBZFjjGgGUA6NLw09EwE0CqkOc4q9oUmW1yo/edit?usp=sharing"",""พิจิตร!L242"")"),2018547)</f>
        <v>2018547</v>
      </c>
      <c r="M347" s="357"/>
      <c r="N347" s="357">
        <f ca="1">IFERROR(__xludf.DUMMYFUNCTION("IMPORTRANGE(""https://docs.google.com/spreadsheets/d/11923uPwbBZFjjGgGUA6NLw09EwE0CqkOc4q9oUmW1yo/edit?usp=sharing"",""พิจิตร!M242"")"),1220099.8)</f>
        <v>1220099.8</v>
      </c>
      <c r="O347" s="357">
        <f ca="1">+IF(L347&gt;0,N347*100/L347,0)</f>
        <v>60.444458315808355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IFERROR(__xludf.DUMMYFUNCTION("IMPORTRANGE(""https://docs.google.com/spreadsheets/d/11923uPwbBZFjjGgGUA6NLw09EwE0CqkOc4q9oUmW1yo/edit?usp=sharing"",""พิจิตร!J244"")"),160)</f>
        <v>160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IFERROR(__xludf.DUMMYFUNCTION("IMPORTRANGE(""https://docs.google.com/spreadsheets/d/11923uPwbBZFjjGgGUA6NLw09EwE0CqkOc4q9oUmW1yo/edit?usp=sharing"",""พิจิตร!L244"")"),406480)</f>
        <v>406480</v>
      </c>
      <c r="M349" s="372"/>
      <c r="N349" s="372">
        <f ca="1">IFERROR(__xludf.DUMMYFUNCTION("IMPORTRANGE(""https://docs.google.com/spreadsheets/d/11923uPwbBZFjjGgGUA6NLw09EwE0CqkOc4q9oUmW1yo/edit?usp=sharing"",""พิจิตร!M244"")"),333287.7)</f>
        <v>333287.7</v>
      </c>
      <c r="O349" s="372">
        <f ca="1">+IF(L349&gt;0,N349*100/L349,0)</f>
        <v>81.99362822279079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IFERROR(__xludf.DUMMYFUNCTION("IMPORTRANGE(""https://docs.google.com/spreadsheets/d/11923uPwbBZFjjGgGUA6NLw09EwE0CqkOc4q9oUmW1yo/edit?usp=sharing"",""พิจิตร!M247"")"),333287.7)</f>
        <v>333287.7</v>
      </c>
      <c r="O352" s="165">
        <f t="shared" ca="1" si="105"/>
        <v>81.99362822279079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IFERROR(__xludf.DUMMYFUNCTION("IMPORTRANGE(""https://docs.google.com/spreadsheets/d/11923uPwbBZFjjGgGUA6NLw09EwE0CqkOc4q9oUmW1yo/edit?usp=sharing"",""พิจิตร!M249"")"),333287.7)</f>
        <v>333287.7</v>
      </c>
      <c r="O354" s="168">
        <f t="shared" ca="1" si="105"/>
        <v>81.99362822279079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IFERROR(__xludf.DUMMYFUNCTION("IMPORTRANGE(""https://docs.google.com/spreadsheets/d/11923uPwbBZFjjGgGUA6NLw09EwE0CqkOc4q9oUmW1yo/edit?usp=sharing"",""พิจิตร!M250"")"),66876)</f>
        <v>66876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IFERROR(__xludf.DUMMYFUNCTION("IMPORTRANGE(""https://docs.google.com/spreadsheets/d/11923uPwbBZFjjGgGUA6NLw09EwE0CqkOc4q9oUmW1yo/edit?usp=sharing"",""พิจิตร!M251"")"),145000)</f>
        <v>145000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IFERROR(__xludf.DUMMYFUNCTION("IMPORTRANGE(""https://docs.google.com/spreadsheets/d/11923uPwbBZFjjGgGUA6NLw09EwE0CqkOc4q9oUmW1yo/edit?usp=sharing"",""พิจิตร!M252"")"),106051.7)</f>
        <v>106051.7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IFERROR(__xludf.DUMMYFUNCTION("IMPORTRANGE(""https://docs.google.com/spreadsheets/d/11923uPwbBZFjjGgGUA6NLw09EwE0CqkOc4q9oUmW1yo/edit?usp=sharing"",""พิจิตร!M253"")"),15360)</f>
        <v>15360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IFERROR(__xludf.DUMMYFUNCTION("IMPORTRANGE(""https://docs.google.com/spreadsheets/d/11923uPwbBZFjjGgGUA6NLw09EwE0CqkOc4q9oUmW1yo/edit?usp=sharing"",""พิจิตร!J270"")"),160)</f>
        <v>160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IFERROR(__xludf.DUMMYFUNCTION("IMPORTRANGE(""https://docs.google.com/spreadsheets/d/11923uPwbBZFjjGgGUA6NLw09EwE0CqkOc4q9oUmW1yo/edit?usp=sharing"",""พิจิตร!M275"")"),165467)</f>
        <v>165467</v>
      </c>
      <c r="O380" s="372">
        <f ca="1">+IF(L380&gt;0,N380*100/L380,0)</f>
        <v>79.720080940450956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IFERROR(__xludf.DUMMYFUNCTION("IMPORTRANGE(""https://docs.google.com/spreadsheets/d/11923uPwbBZFjjGgGUA6NLw09EwE0CqkOc4q9oUmW1yo/edit?usp=sharing"",""พิจิตร!M278"")"),165467)</f>
        <v>165467</v>
      </c>
      <c r="O383" s="165">
        <f t="shared" ca="1" si="109"/>
        <v>79.720080940450956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IFERROR(__xludf.DUMMYFUNCTION("IMPORTRANGE(""https://docs.google.com/spreadsheets/d/11923uPwbBZFjjGgGUA6NLw09EwE0CqkOc4q9oUmW1yo/edit?usp=sharing"",""พิจิตร!M280"")"),165467)</f>
        <v>165467</v>
      </c>
      <c r="O385" s="168">
        <f t="shared" ca="1" si="109"/>
        <v>79.720080940450956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IFERROR(__xludf.DUMMYFUNCTION("IMPORTRANGE(""https://docs.google.com/spreadsheets/d/11923uPwbBZFjjGgGUA6NLw09EwE0CqkOc4q9oUmW1yo/edit?usp=sharing"",""พิจิตร!M282"")"),125000)</f>
        <v>125000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IFERROR(__xludf.DUMMYFUNCTION("IMPORTRANGE(""https://docs.google.com/spreadsheets/d/11923uPwbBZFjjGgGUA6NLw09EwE0CqkOc4q9oUmW1yo/edit?usp=sharing"",""พิจิตร!M284"")"),12851)</f>
        <v>12851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IFERROR(__xludf.DUMMYFUNCTION("IMPORTRANGE(""https://docs.google.com/spreadsheets/d/11923uPwbBZFjjGgGUA6NLw09EwE0CqkOc4q9oUmW1yo/edit?usp=sharing"",""พิจิตร!M296"")"),122825)</f>
        <v>122825</v>
      </c>
      <c r="O401" s="372">
        <f ca="1">+IF(L401&gt;0,N401*100/L401,0)</f>
        <v>62.697805002552322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IFERROR(__xludf.DUMMYFUNCTION("IMPORTRANGE(""https://docs.google.com/spreadsheets/d/11923uPwbBZFjjGgGUA6NLw09EwE0CqkOc4q9oUmW1yo/edit?usp=sharing"",""พิจิตร!M299"")"),122825)</f>
        <v>122825</v>
      </c>
      <c r="O404" s="168">
        <f t="shared" ca="1" si="112"/>
        <v>62.697805002552322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IFERROR(__xludf.DUMMYFUNCTION("IMPORTRANGE(""https://docs.google.com/spreadsheets/d/11923uPwbBZFjjGgGUA6NLw09EwE0CqkOc4q9oUmW1yo/edit?usp=sharing"",""พิจิตร!M301"")"),122825)</f>
        <v>122825</v>
      </c>
      <c r="O406" s="168">
        <f t="shared" ca="1" si="112"/>
        <v>62.697805002552322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IFERROR(__xludf.DUMMYFUNCTION("IMPORTRANGE(""https://docs.google.com/spreadsheets/d/11923uPwbBZFjjGgGUA6NLw09EwE0CqkOc4q9oUmW1yo/edit?usp=sharing"",""พิจิตร!M303"")"),8500)</f>
        <v>8500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IFERROR(__xludf.DUMMYFUNCTION("IMPORTRANGE(""https://docs.google.com/spreadsheets/d/11923uPwbBZFjjGgGUA6NLw09EwE0CqkOc4q9oUmW1yo/edit?usp=sharing"",""พิจิตร!M305"")"),15776)</f>
        <v>15776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IFERROR(__xludf.DUMMYFUNCTION("IMPORTRANGE(""https://docs.google.com/spreadsheets/d/11923uPwbBZFjjGgGUA6NLw09EwE0CqkOc4q9oUmW1yo/edit?usp=sharing"",""พิจิตร!M330"")"),80956)</f>
        <v>80956</v>
      </c>
      <c r="O435" s="411">
        <f t="shared" ref="O435:O439" ca="1" si="114">+IF(L435&gt;0,N435*100/L435,0)</f>
        <v>76.37358490566038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IFERROR(__xludf.DUMMYFUNCTION("IMPORTRANGE(""https://docs.google.com/spreadsheets/d/11923uPwbBZFjjGgGUA6NLw09EwE0CqkOc4q9oUmW1yo/edit?usp=sharing"",""พิจิตร!M332"")"),80956)</f>
        <v>80956</v>
      </c>
      <c r="O437" s="168">
        <f t="shared" ca="1" si="114"/>
        <v>76.37358490566038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IFERROR(__xludf.DUMMYFUNCTION("IMPORTRANGE(""https://docs.google.com/spreadsheets/d/11923uPwbBZFjjGgGUA6NLw09EwE0CqkOc4q9oUmW1yo/edit?usp=sharing"",""พิจิตร!M334"")"),80956)</f>
        <v>80956</v>
      </c>
      <c r="O439" s="168">
        <f t="shared" ca="1" si="114"/>
        <v>76.37358490566038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IFERROR(__xludf.DUMMYFUNCTION("IMPORTRANGE(""https://docs.google.com/spreadsheets/d/11923uPwbBZFjjGgGUA6NLw09EwE0CqkOc4q9oUmW1yo/edit?usp=sharing"",""พิจิตร!M338"")"),48765)</f>
        <v>48765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IFERROR(__xludf.DUMMYFUNCTION("IMPORTRANGE(""https://docs.google.com/spreadsheets/d/11923uPwbBZFjjGgGUA6NLw09EwE0CqkOc4q9oUmW1yo/edit?usp=sharing"",""พิจิตร!L350"")"),585237)</f>
        <v>585237</v>
      </c>
      <c r="M455" s="372"/>
      <c r="N455" s="372">
        <f ca="1">IFERROR(__xludf.DUMMYFUNCTION("IMPORTRANGE(""https://docs.google.com/spreadsheets/d/11923uPwbBZFjjGgGUA6NLw09EwE0CqkOc4q9oUmW1yo/edit?usp=sharing"",""พิจิตร!M350"")"),182459.78)</f>
        <v>182459.78</v>
      </c>
      <c r="O455" s="372">
        <f t="shared" ref="O455:O459" ca="1" si="116">+IF(L455&gt;0,N455*100/L455,0)</f>
        <v>31.177075270360554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IFERROR(__xludf.DUMMYFUNCTION("IMPORTRANGE(""https://docs.google.com/spreadsheets/d/11923uPwbBZFjjGgGUA6NLw09EwE0CqkOc4q9oUmW1yo/edit?usp=sharing"",""พิจิตร!L352"")"),585237)</f>
        <v>585237</v>
      </c>
      <c r="M457" s="165"/>
      <c r="N457" s="168">
        <f ca="1">IFERROR(__xludf.DUMMYFUNCTION("IMPORTRANGE(""https://docs.google.com/spreadsheets/d/11923uPwbBZFjjGgGUA6NLw09EwE0CqkOc4q9oUmW1yo/edit?usp=sharing"",""พิจิตร!M352"")"),182459.78)</f>
        <v>182459.78</v>
      </c>
      <c r="O457" s="168">
        <f t="shared" ca="1" si="116"/>
        <v>31.177075270360554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IFERROR(__xludf.DUMMYFUNCTION("IMPORTRANGE(""https://docs.google.com/spreadsheets/d/11923uPwbBZFjjGgGUA6NLw09EwE0CqkOc4q9oUmW1yo/edit?usp=sharing"",""พิจิตร!L354"")"),585237)</f>
        <v>585237</v>
      </c>
      <c r="M459" s="168"/>
      <c r="N459" s="168">
        <f ca="1">IFERROR(__xludf.DUMMYFUNCTION("IMPORTRANGE(""https://docs.google.com/spreadsheets/d/11923uPwbBZFjjGgGUA6NLw09EwE0CqkOc4q9oUmW1yo/edit?usp=sharing"",""พิจิตร!M354"")"),182459.78)</f>
        <v>182459.78</v>
      </c>
      <c r="O459" s="168">
        <f t="shared" ca="1" si="116"/>
        <v>31.177075270360554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IFERROR(__xludf.DUMMYFUNCTION("IMPORTRANGE(""https://docs.google.com/spreadsheets/d/11923uPwbBZFjjGgGUA6NLw09EwE0CqkOc4q9oUmW1yo/edit?usp=sharing"",""พิจิตร!M357"")"),92346.78)</f>
        <v>92346.78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IFERROR(__xludf.DUMMYFUNCTION("IMPORTRANGE(""https://docs.google.com/spreadsheets/d/11923uPwbBZFjjGgGUA6NLw09EwE0CqkOc4q9oUmW1yo/edit?usp=sharing"",""พิจิตร!M358"")"),90113)</f>
        <v>90113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IFERROR(__xludf.DUMMYFUNCTION("IMPORTRANGE(""https://docs.google.com/spreadsheets/d/11923uPwbBZFjjGgGUA6NLw09EwE0CqkOc4q9oUmW1yo/edit?usp=sharing"",""พิจิตร!J392"")"),754.27)</f>
        <v>754.27</v>
      </c>
      <c r="K497" s="444">
        <f t="shared" ca="1" si="117"/>
        <v>67.105871886120994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IFERROR(__xludf.DUMMYFUNCTION("IMPORTRANGE(""https://docs.google.com/spreadsheets/d/11923uPwbBZFjjGgGUA6NLw09EwE0CqkOc4q9oUmW1yo/edit?usp=sharing"",""พิจิตร!J393"")"),754.27)</f>
        <v>754.27</v>
      </c>
      <c r="K498" s="163">
        <f t="shared" ca="1" si="117"/>
        <v>67.105871886120994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IFERROR(__xludf.DUMMYFUNCTION("IMPORTRANGE(""https://docs.google.com/spreadsheets/d/11923uPwbBZFjjGgGUA6NLw09EwE0CqkOc4q9oUmW1yo/edit?usp=sharing"",""พิจิตร!J394"")"),40)</f>
        <v>40</v>
      </c>
      <c r="K499" s="201">
        <f t="shared" ca="1" si="117"/>
        <v>68.965517241379317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IFERROR(__xludf.DUMMYFUNCTION("IMPORTRANGE(""https://docs.google.com/spreadsheets/d/11923uPwbBZFjjGgGUA6NLw09EwE0CqkOc4q9oUmW1yo/edit?usp=sharing"",""พิจิตร!J395"")"),728.25)</f>
        <v>728.25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IFERROR(__xludf.DUMMYFUNCTION("IMPORTRANGE(""https://docs.google.com/spreadsheets/d/11923uPwbBZFjjGgGUA6NLw09EwE0CqkOc4q9oUmW1yo/edit?usp=sharing"",""พิจิตร!J396"")"),38)</f>
        <v>38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IFERROR(__xludf.DUMMYFUNCTION("IMPORTRANGE(""https://docs.google.com/spreadsheets/d/11923uPwbBZFjjGgGUA6NLw09EwE0CqkOc4q9oUmW1yo/edit?usp=sharing"",""พิจิตร!J397"")"),728.25)</f>
        <v>728.25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IFERROR(__xludf.DUMMYFUNCTION("IMPORTRANGE(""https://docs.google.com/spreadsheets/d/11923uPwbBZFjjGgGUA6NLw09EwE0CqkOc4q9oUmW1yo/edit?usp=sharing"",""พิจิตร!J398"")"),38)</f>
        <v>38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IFERROR(__xludf.DUMMYFUNCTION("IMPORTRANGE(""https://docs.google.com/spreadsheets/d/11923uPwbBZFjjGgGUA6NLw09EwE0CqkOc4q9oUmW1yo/edit?usp=sharing"",""พิจิตร!J403"")"),26.02)</f>
        <v>26.02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IFERROR(__xludf.DUMMYFUNCTION("IMPORTRANGE(""https://docs.google.com/spreadsheets/d/11923uPwbBZFjjGgGUA6NLw09EwE0CqkOc4q9oUmW1yo/edit?usp=sharing"",""พิจิตร!J405"")"),26.02)</f>
        <v>26.02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IFERROR(__xludf.DUMMYFUNCTION("IMPORTRANGE(""https://docs.google.com/spreadsheets/d/11923uPwbBZFjjGgGUA6NLw09EwE0CqkOc4q9oUmW1yo/edit?usp=sharing"",""พิจิตร!J420"")"),106.35)</f>
        <v>106.35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IFERROR(__xludf.DUMMYFUNCTION("IMPORTRANGE(""https://docs.google.com/spreadsheets/d/11923uPwbBZFjjGgGUA6NLw09EwE0CqkOc4q9oUmW1yo/edit?usp=sharing"",""พิจิตร!J421"")"),30)</f>
        <v>30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IFERROR(__xludf.DUMMYFUNCTION("IMPORTRANGE(""https://docs.google.com/spreadsheets/d/11923uPwbBZFjjGgGUA6NLw09EwE0CqkOc4q9oUmW1yo/edit?usp=sharing"",""พิจิตร!J422"")"),1.61)</f>
        <v>1.61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IFERROR(__xludf.DUMMYFUNCTION("IMPORTRANGE(""https://docs.google.com/spreadsheets/d/11923uPwbBZFjjGgGUA6NLw09EwE0CqkOc4q9oUmW1yo/edit?usp=sharing"",""พิจิตร!J424"")"),104.74)</f>
        <v>104.74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IFERROR(__xludf.DUMMYFUNCTION("IMPORTRANGE(""https://docs.google.com/spreadsheets/d/11923uPwbBZFjjGgGUA6NLw09EwE0CqkOc4q9oUmW1yo/edit?usp=sharing"",""พิจิตร!L428"")"),34340)</f>
        <v>34340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52.944088526499712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IFERROR(__xludf.DUMMYFUNCTION("IMPORTRANGE(""https://docs.google.com/spreadsheets/d/11923uPwbBZFjjGgGUA6NLw09EwE0CqkOc4q9oUmW1yo/edit?usp=sharing"",""พิจิตร!J459"")"),1205)</f>
        <v>1205</v>
      </c>
      <c r="K564" s="371">
        <f ca="1">IF(I564&gt;0,J564*100/I564,0)</f>
        <v>109.54545454545455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IFERROR(__xludf.DUMMYFUNCTION("IMPORTRANGE(""https://docs.google.com/spreadsheets/d/11923uPwbBZFjjGgGUA6NLw09EwE0CqkOc4q9oUmW1yo/edit?usp=sharing"",""พิจิตร!M459"")"),109156.35)</f>
        <v>109156.35</v>
      </c>
      <c r="O564" s="372">
        <f t="shared" ref="O564:O568" ca="1" si="122">+IF(L564&gt;0,N564*100/L564,0)</f>
        <v>86.577054251269033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IFERROR(__xludf.DUMMYFUNCTION("IMPORTRANGE(""https://docs.google.com/spreadsheets/d/11923uPwbBZFjjGgGUA6NLw09EwE0CqkOc4q9oUmW1yo/edit?usp=sharing"",""พิจิตร!M461"")"),109156.35)</f>
        <v>109156.35</v>
      </c>
      <c r="O566" s="168">
        <f t="shared" ca="1" si="122"/>
        <v>86.577054251269033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IFERROR(__xludf.DUMMYFUNCTION("IMPORTRANGE(""https://docs.google.com/spreadsheets/d/11923uPwbBZFjjGgGUA6NLw09EwE0CqkOc4q9oUmW1yo/edit?usp=sharing"",""พิจิตร!M463"")"),109156.35)</f>
        <v>109156.35</v>
      </c>
      <c r="O568" s="168">
        <f t="shared" ca="1" si="122"/>
        <v>86.577054251269033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IFERROR(__xludf.DUMMYFUNCTION("IMPORTRANGE(""https://docs.google.com/spreadsheets/d/11923uPwbBZFjjGgGUA6NLw09EwE0CqkOc4q9oUmW1yo/edit?usp=sharing"",""พิจิตร!M466"")"),89975.35)</f>
        <v>89975.35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IFERROR(__xludf.DUMMYFUNCTION("IMPORTRANGE(""https://docs.google.com/spreadsheets/d/11923uPwbBZFjjGgGUA6NLw09EwE0CqkOc4q9oUmW1yo/edit?usp=sharing"",""พิจิตร!M467"")"),19181)</f>
        <v>19181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IFERROR(__xludf.DUMMYFUNCTION("IMPORTRANGE(""https://docs.google.com/spreadsheets/d/11923uPwbBZFjjGgGUA6NLw09EwE0CqkOc4q9oUmW1yo/edit?usp=sharing"",""พิจิตร!J468"")"),1205)</f>
        <v>1205</v>
      </c>
      <c r="K573" s="201">
        <f ca="1">IF(I573&gt;0,J573*100/I573,0)</f>
        <v>109.54545454545455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IFERROR(__xludf.DUMMYFUNCTION("IMPORTRANGE(""https://docs.google.com/spreadsheets/d/11923uPwbBZFjjGgGUA6NLw09EwE0CqkOc4q9oUmW1yo/edit?usp=sharing"",""พิจิตร!J470"")"),9)</f>
        <v>9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IFERROR(__xludf.DUMMYFUNCTION("IMPORTRANGE(""https://docs.google.com/spreadsheets/d/11923uPwbBZFjjGgGUA6NLw09EwE0CqkOc4q9oUmW1yo/edit?usp=sharing"",""พิจิตร!J471"")"),239)</f>
        <v>239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IFERROR(__xludf.DUMMYFUNCTION("IMPORTRANGE(""https://docs.google.com/spreadsheets/d/11923uPwbBZFjjGgGUA6NLw09EwE0CqkOc4q9oUmW1yo/edit?usp=sharing"",""พิจิตร!J472"")"),966)</f>
        <v>966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IFERROR(__xludf.DUMMYFUNCTION("IMPORTRANGE(""https://docs.google.com/spreadsheets/d/11923uPwbBZFjjGgGUA6NLw09EwE0CqkOc4q9oUmW1yo/edit?usp=sharing"",""พิจิตร!J475"")"),20)</f>
        <v>20</v>
      </c>
      <c r="K580" s="371">
        <f ca="1">IF(I580&gt;0,J580*100/I580,0)</f>
        <v>10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IFERROR(__xludf.DUMMYFUNCTION("IMPORTRANGE(""https://docs.google.com/spreadsheets/d/11923uPwbBZFjjGgGUA6NLw09EwE0CqkOc4q9oUmW1yo/edit?usp=sharing"",""พิจิตร!M475"")"),205972.97)</f>
        <v>205972.97</v>
      </c>
      <c r="O580" s="372">
        <f t="shared" ref="O580:O584" ca="1" si="124">+IF(L580&gt;0,N580*100/L580,0)</f>
        <v>58.448629398410894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IFERROR(__xludf.DUMMYFUNCTION("IMPORTRANGE(""https://docs.google.com/spreadsheets/d/11923uPwbBZFjjGgGUA6NLw09EwE0CqkOc4q9oUmW1yo/edit?usp=sharing"",""พิจิตร!M477"")"),205972.97)</f>
        <v>205972.97</v>
      </c>
      <c r="O582" s="168">
        <f t="shared" ca="1" si="124"/>
        <v>58.448629398410894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IFERROR(__xludf.DUMMYFUNCTION("IMPORTRANGE(""https://docs.google.com/spreadsheets/d/11923uPwbBZFjjGgGUA6NLw09EwE0CqkOc4q9oUmW1yo/edit?usp=sharing"",""พิจิตร!M479"")"),205972.97)</f>
        <v>205972.97</v>
      </c>
      <c r="O584" s="168">
        <f t="shared" ca="1" si="124"/>
        <v>58.448629398410894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IFERROR(__xludf.DUMMYFUNCTION("IMPORTRANGE(""https://docs.google.com/spreadsheets/d/11923uPwbBZFjjGgGUA6NLw09EwE0CqkOc4q9oUmW1yo/edit?usp=sharing"",""พิจิตร!M482"")"),91098.92)</f>
        <v>91098.92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IFERROR(__xludf.DUMMYFUNCTION("IMPORTRANGE(""https://docs.google.com/spreadsheets/d/11923uPwbBZFjjGgGUA6NLw09EwE0CqkOc4q9oUmW1yo/edit?usp=sharing"",""พิจิตร!M483"")"),114874.05)</f>
        <v>114874.05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IFERROR(__xludf.DUMMYFUNCTION("IMPORTRANGE(""https://docs.google.com/spreadsheets/d/11923uPwbBZFjjGgGUA6NLw09EwE0CqkOc4q9oUmW1yo/edit?usp=sharing"",""พิจิตร!J484"")"),232)</f>
        <v>232</v>
      </c>
      <c r="K589" s="163">
        <f t="shared" ref="K589:K596" ca="1" si="125">IF(I589&gt;0,J589*100/I589,0)</f>
        <v>116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IFERROR(__xludf.DUMMYFUNCTION("IMPORTRANGE(""https://docs.google.com/spreadsheets/d/11923uPwbBZFjjGgGUA6NLw09EwE0CqkOc4q9oUmW1yo/edit?usp=sharing"",""พิจิตร!J485"")"),163.74)</f>
        <v>163.74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IFERROR(__xludf.DUMMYFUNCTION("IMPORTRANGE(""https://docs.google.com/spreadsheets/d/11923uPwbBZFjjGgGUA6NLw09EwE0CqkOc4q9oUmW1yo/edit?usp=sharing"",""พิจิตร!J486"")"),149)</f>
        <v>149</v>
      </c>
      <c r="K591" s="163">
        <f t="shared" ca="1" si="125"/>
        <v>74.5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IFERROR(__xludf.DUMMYFUNCTION("IMPORTRANGE(""https://docs.google.com/spreadsheets/d/11923uPwbBZFjjGgGUA6NLw09EwE0CqkOc4q9oUmW1yo/edit?usp=sharing"",""พิจิตร!J487"")"),96.13)</f>
        <v>96.13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IFERROR(__xludf.DUMMYFUNCTION("IMPORTRANGE(""https://docs.google.com/spreadsheets/d/11923uPwbBZFjjGgGUA6NLw09EwE0CqkOc4q9oUmW1yo/edit?usp=sharing"",""พิจิตร!J490"")"),20)</f>
        <v>20</v>
      </c>
      <c r="K595" s="163">
        <f t="shared" ca="1" si="125"/>
        <v>10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IFERROR(__xludf.DUMMYFUNCTION("IMPORTRANGE(""https://docs.google.com/spreadsheets/d/11923uPwbBZFjjGgGUA6NLw09EwE0CqkOc4q9oUmW1yo/edit?usp=sharing"",""พิจิตร!J491"")"),13.84)</f>
        <v>13.84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8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IFERROR(__xludf.DUMMYFUNCTION("IMPORTRANGE(""https://docs.google.com/spreadsheets/d/11923uPwbBZFjjGgGUA6NLw09EwE0CqkOc4q9oUmW1yo/edit?usp=sharing"",""พิจิตร!L492"")"),4550)</f>
        <v>4550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39.428571428571431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IFERROR(__xludf.DUMMYFUNCTION("IMPORTRANGE(""https://docs.google.com/spreadsheets/d/11923uPwbBZFjjGgGUA6NLw09EwE0CqkOc4q9oUmW1yo/edit?usp=sharing"",""พิจิตร!J523"")"),2172450)</f>
        <v>2172450</v>
      </c>
      <c r="K628" s="342">
        <f t="shared" ref="K628:K635" ca="1" si="129">IF(I628&gt;0,J628*100/I628,0)</f>
        <v>86.199781767681785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IFERROR(__xludf.DUMMYFUNCTION("IMPORTRANGE(""https://docs.google.com/spreadsheets/d/11923uPwbBZFjjGgGUA6NLw09EwE0CqkOc4q9oUmW1yo/edit?usp=sharing"",""พิจิตร!J524"")"),78)</f>
        <v>78</v>
      </c>
      <c r="K629" s="342">
        <f t="shared" ca="1" si="129"/>
        <v>83.870967741935488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IFERROR(__xludf.DUMMYFUNCTION("IMPORTRANGE(""https://docs.google.com/spreadsheets/d/11923uPwbBZFjjGgGUA6NLw09EwE0CqkOc4q9oUmW1yo/edit?usp=sharing"",""พิจิตร!J525"")"),77159.86)</f>
        <v>77159.86</v>
      </c>
      <c r="K630" s="342">
        <f t="shared" ca="1" si="129"/>
        <v>15.105964145392623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IFERROR(__xludf.DUMMYFUNCTION("IMPORTRANGE(""https://docs.google.com/spreadsheets/d/11923uPwbBZFjjGgGUA6NLw09EwE0CqkOc4q9oUmW1yo/edit?usp=sharing"",""พิจิตร!J526"")"),18)</f>
        <v>18</v>
      </c>
      <c r="K631" s="342">
        <f t="shared" ca="1" si="129"/>
        <v>62.068965517241381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IFERROR(__xludf.DUMMYFUNCTION("IMPORTRANGE(""https://docs.google.com/spreadsheets/d/11923uPwbBZFjjGgGUA6NLw09EwE0CqkOc4q9oUmW1yo/edit?usp=sharing"",""พิจิตร!J527"")"),2849046.04)</f>
        <v>2849046.04</v>
      </c>
      <c r="K632" s="342">
        <f t="shared" ca="1" si="129"/>
        <v>46.394953613368358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IFERROR(__xludf.DUMMYFUNCTION("IMPORTRANGE(""https://docs.google.com/spreadsheets/d/11923uPwbBZFjjGgGUA6NLw09EwE0CqkOc4q9oUmW1yo/edit?usp=sharing"",""พิจิตร!J528"")"),427)</f>
        <v>427</v>
      </c>
      <c r="K633" s="342">
        <f t="shared" ca="1" si="129"/>
        <v>88.589211618257266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IFERROR(__xludf.DUMMYFUNCTION("IMPORTRANGE(""https://docs.google.com/spreadsheets/d/11923uPwbBZFjjGgGUA6NLw09EwE0CqkOc4q9oUmW1yo/edit?usp=sharing"",""พิจิตร!I529"")"),2370000)</f>
        <v>2370000</v>
      </c>
      <c r="J634" s="341">
        <f ca="1">IFERROR(__xludf.DUMMYFUNCTION("IMPORTRANGE(""https://docs.google.com/spreadsheets/d/11923uPwbBZFjjGgGUA6NLw09EwE0CqkOc4q9oUmW1yo/edit?usp=sharing"",""พิจิตร!J529"")"),2140000)</f>
        <v>2140000</v>
      </c>
      <c r="K634" s="342">
        <f t="shared" ca="1" si="129"/>
        <v>90.295358649789023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IFERROR(__xludf.DUMMYFUNCTION("IMPORTRANGE(""https://docs.google.com/spreadsheets/d/11923uPwbBZFjjGgGUA6NLw09EwE0CqkOc4q9oUmW1yo/edit?usp=sharing"",""พิจิตร!I530"")"),88)</f>
        <v>88</v>
      </c>
      <c r="J635" s="505">
        <f ca="1">IFERROR(__xludf.DUMMYFUNCTION("IMPORTRANGE(""https://docs.google.com/spreadsheets/d/11923uPwbBZFjjGgGUA6NLw09EwE0CqkOc4q9oUmW1yo/edit?usp=sharing"",""พิจิตร!J530"")"),77)</f>
        <v>77</v>
      </c>
      <c r="K635" s="487">
        <f t="shared" ca="1" si="129"/>
        <v>87.5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21330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4"/>
      <c r="F637" s="56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21330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21330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4"/>
      <c r="F645" s="564"/>
      <c r="G645" s="564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4"/>
      <c r="G646" s="564"/>
      <c r="H646" s="523"/>
      <c r="I646" s="531"/>
      <c r="J646" s="532">
        <f ca="1">IFERROR(__xludf.DUMMYFUNCTION("IMPORTRANGE(""https://docs.google.com/spreadsheets/d/11923uPwbBZFjjGgGUA6NLw09EwE0CqkOc4q9oUmW1yo/edit?usp=sharing"",""พิจิตร!J541"")"),0)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4"/>
      <c r="G647" s="564"/>
      <c r="H647" s="523"/>
      <c r="I647" s="531"/>
      <c r="J647" s="532">
        <f ca="1">IFERROR(__xludf.DUMMYFUNCTION("IMPORTRANGE(""https://docs.google.com/spreadsheets/d/11923uPwbBZFjjGgGUA6NLw09EwE0CqkOc4q9oUmW1yo/edit?usp=sharing"",""พิจิตร!J542"")"),0)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7" t="s">
        <v>244</v>
      </c>
      <c r="G648" s="564"/>
      <c r="H648" s="516" t="s">
        <v>122</v>
      </c>
      <c r="I648" s="535">
        <f ca="1">IFERROR(__xludf.DUMMYFUNCTION("IMPORTRANGE(""https://docs.google.com/spreadsheets/d/11923uPwbBZFjjGgGUA6NLw09EwE0CqkOc4q9oUmW1yo/edit?usp=sharing"",""พิจิตร!I543"")"),0)</f>
        <v>0</v>
      </c>
      <c r="J648" s="536">
        <f ca="1">IFERROR(__xludf.DUMMYFUNCTION("IMPORTRANGE(""https://docs.google.com/spreadsheets/d/11923uPwbBZFjjGgGUA6NLw09EwE0CqkOc4q9oUmW1yo/edit?usp=sharing"",""พิจิตร!J543"")"),0)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IFERROR(__xludf.DUMMYFUNCTION("IMPORTRANGE(""https://docs.google.com/spreadsheets/d/11923uPwbBZFjjGgGUA6NLw09EwE0CqkOc4q9oUmW1yo/edit?usp=sharing"",""พิจิตร!L543"")"),0)</f>
        <v>0</v>
      </c>
      <c r="M648" s="521"/>
      <c r="N648" s="538">
        <f ca="1">IFERROR(__xludf.DUMMYFUNCTION("IMPORTRANGE(""https://docs.google.com/spreadsheets/d/11923uPwbBZFjjGgGUA6NLw09EwE0CqkOc4q9oUmW1yo/edit?usp=sharing"",""พิจิตร!M543"")"),0)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7" t="s">
        <v>245</v>
      </c>
      <c r="G649" s="564"/>
      <c r="H649" s="516" t="s">
        <v>37</v>
      </c>
      <c r="I649" s="535">
        <f ca="1">IFERROR(__xludf.DUMMYFUNCTION("IMPORTRANGE(""https://docs.google.com/spreadsheets/d/11923uPwbBZFjjGgGUA6NLw09EwE0CqkOc4q9oUmW1yo/edit?usp=sharing"",""พิจิตร!I544"")"),0)</f>
        <v>0</v>
      </c>
      <c r="J649" s="536">
        <f ca="1">IFERROR(__xludf.DUMMYFUNCTION("IMPORTRANGE(""https://docs.google.com/spreadsheets/d/11923uPwbBZFjjGgGUA6NLw09EwE0CqkOc4q9oUmW1yo/edit?usp=sharing"",""พิจิตร!J544"")"),0)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IFERROR(__xludf.DUMMYFUNCTION("IMPORTRANGE(""https://docs.google.com/spreadsheets/d/11923uPwbBZFjjGgGUA6NLw09EwE0CqkOc4q9oUmW1yo/edit?usp=sharing"",""พิจิตร!L544"")"),0)</f>
        <v>0</v>
      </c>
      <c r="M649" s="521"/>
      <c r="N649" s="538">
        <f ca="1">IFERROR(__xludf.DUMMYFUNCTION("IMPORTRANGE(""https://docs.google.com/spreadsheets/d/11923uPwbBZFjjGgGUA6NLw09EwE0CqkOc4q9oUmW1yo/edit?usp=sharing"",""พิจิตร!M544"")"),0)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7" t="s">
        <v>246</v>
      </c>
      <c r="G650" s="564"/>
      <c r="H650" s="516" t="s">
        <v>122</v>
      </c>
      <c r="I650" s="535">
        <f ca="1">IFERROR(__xludf.DUMMYFUNCTION("IMPORTRANGE(""https://docs.google.com/spreadsheets/d/11923uPwbBZFjjGgGUA6NLw09EwE0CqkOc4q9oUmW1yo/edit?usp=sharing"",""พิจิตร!I545"")"),200)</f>
        <v>200</v>
      </c>
      <c r="J650" s="536">
        <f ca="1">IFERROR(__xludf.DUMMYFUNCTION("IMPORTRANGE(""https://docs.google.com/spreadsheets/d/11923uPwbBZFjjGgGUA6NLw09EwE0CqkOc4q9oUmW1yo/edit?usp=sharing"",""พิจิตร!J545"")"),0)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IFERROR(__xludf.DUMMYFUNCTION("IMPORTRANGE(""https://docs.google.com/spreadsheets/d/11923uPwbBZFjjGgGUA6NLw09EwE0CqkOc4q9oUmW1yo/edit?usp=sharing"",""พิจิตร!L545"")"),1000)</f>
        <v>1000</v>
      </c>
      <c r="M650" s="521"/>
      <c r="N650" s="538">
        <f ca="1">IFERROR(__xludf.DUMMYFUNCTION("IMPORTRANGE(""https://docs.google.com/spreadsheets/d/11923uPwbBZFjjGgGUA6NLw09EwE0CqkOc4q9oUmW1yo/edit?usp=sharing"",""พิจิตร!M545"")"),0)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7" t="s">
        <v>247</v>
      </c>
      <c r="G651" s="564"/>
      <c r="H651" s="516" t="s">
        <v>122</v>
      </c>
      <c r="I651" s="535">
        <f ca="1">IFERROR(__xludf.DUMMYFUNCTION("IMPORTRANGE(""https://docs.google.com/spreadsheets/d/11923uPwbBZFjjGgGUA6NLw09EwE0CqkOc4q9oUmW1yo/edit?usp=sharing"",""พิจิตร!I546"")"),90)</f>
        <v>90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IFERROR(__xludf.DUMMYFUNCTION("IMPORTRANGE(""https://docs.google.com/spreadsheets/d/11923uPwbBZFjjGgGUA6NLw09EwE0CqkOc4q9oUmW1yo/edit?usp=sharing"",""พิจิตร!L546"")"),2250)</f>
        <v>2250</v>
      </c>
      <c r="M651" s="521"/>
      <c r="N651" s="538">
        <f ca="1">IFERROR(__xludf.DUMMYFUNCTION("IMPORTRANGE(""https://docs.google.com/spreadsheets/d/11923uPwbBZFjjGgGUA6NLw09EwE0CqkOc4q9oUmW1yo/edit?usp=sharing"",""พิจิตร!M546"")"),0)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IFERROR(__xludf.DUMMYFUNCTION("IMPORTRANGE(""https://docs.google.com/spreadsheets/d/11923uPwbBZFjjGgGUA6NLw09EwE0CqkOc4q9oUmW1yo/edit?usp=sharing"",""พิจิตร!J547"")"),0)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IFERROR(__xludf.DUMMYFUNCTION("IMPORTRANGE(""https://docs.google.com/spreadsheets/d/11923uPwbBZFjjGgGUA6NLw09EwE0CqkOc4q9oUmW1yo/edit?usp=sharing"",""พิจิตร!J548"")"),0)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IFERROR(__xludf.DUMMYFUNCTION("IMPORTRANGE(""https://docs.google.com/spreadsheets/d/11923uPwbBZFjjGgGUA6NLw09EwE0CqkOc4q9oUmW1yo/edit?usp=sharing"",""พิจิตร!J550"")"),0)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IFERROR(__xludf.DUMMYFUNCTION("IMPORTRANGE(""https://docs.google.com/spreadsheets/d/11923uPwbBZFjjGgGUA6NLw09EwE0CqkOc4q9oUmW1yo/edit?usp=sharing"",""พิจิตร!J551"")"),0)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IFERROR(__xludf.DUMMYFUNCTION("IMPORTRANGE(""https://docs.google.com/spreadsheets/d/11923uPwbBZFjjGgGUA6NLw09EwE0CqkOc4q9oUmW1yo/edit?usp=sharing"",""พิจิตร!J552"")"),0)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IFERROR(__xludf.DUMMYFUNCTION("IMPORTRANGE(""https://docs.google.com/spreadsheets/d/11923uPwbBZFjjGgGUA6NLw09EwE0CqkOc4q9oUmW1yo/edit?usp=sharing"",""พิจิตร!J553"")"),0)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IFERROR(__xludf.DUMMYFUNCTION("IMPORTRANGE(""https://docs.google.com/spreadsheets/d/11923uPwbBZFjjGgGUA6NLw09EwE0CqkOc4q9oUmW1yo/edit?usp=sharing"",""พิจิตร!J554"")"),0)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IFERROR(__xludf.DUMMYFUNCTION("IMPORTRANGE(""https://docs.google.com/spreadsheets/d/11923uPwbBZFjjGgGUA6NLw09EwE0CqkOc4q9oUmW1yo/edit?usp=sharing"",""พิจิตร!J555"")"),0)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7" t="s">
        <v>252</v>
      </c>
      <c r="G661" s="564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IFERROR(__xludf.DUMMYFUNCTION("IMPORTRANGE(""https://docs.google.com/spreadsheets/d/11923uPwbBZFjjGgGUA6NLw09EwE0CqkOc4q9oUmW1yo/edit?usp=sharing"",""พิจิตร!J556"")"),0)</f>
        <v>0</v>
      </c>
      <c r="K661" s="537"/>
      <c r="L661" s="522">
        <f ca="1">IFERROR(__xludf.DUMMYFUNCTION("IMPORTRANGE(""https://docs.google.com/spreadsheets/d/11923uPwbBZFjjGgGUA6NLw09EwE0CqkOc4q9oUmW1yo/edit?usp=sharing"",""พิจิตร!L556"")"),16000)</f>
        <v>16000</v>
      </c>
      <c r="M661" s="521"/>
      <c r="N661" s="538">
        <f ca="1">IFERROR(__xludf.DUMMYFUNCTION("IMPORTRANGE(""https://docs.google.com/spreadsheets/d/11923uPwbBZFjjGgGUA6NLw09EwE0CqkOc4q9oUmW1yo/edit?usp=sharing"",""พิจิตร!M556"")"),0)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IFERROR(__xludf.DUMMYFUNCTION("IMPORTRANGE(""https://docs.google.com/spreadsheets/d/11923uPwbBZFjjGgGUA6NLw09EwE0CqkOc4q9oUmW1yo/edit?usp=sharing"",""พิจิตร!J557"")"),0)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IFERROR(__xludf.DUMMYFUNCTION("IMPORTRANGE(""https://docs.google.com/spreadsheets/d/11923uPwbBZFjjGgGUA6NLw09EwE0CqkOc4q9oUmW1yo/edit?usp=sharing"",""พิจิตร!I558"")"),400)</f>
        <v>400</v>
      </c>
      <c r="J663" s="536">
        <f ca="1">IFERROR(__xludf.DUMMYFUNCTION("IMPORTRANGE(""https://docs.google.com/spreadsheets/d/11923uPwbBZFjjGgGUA6NLw09EwE0CqkOc4q9oUmW1yo/edit?usp=sharing"",""พิจิตร!J558"")"),0)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7" t="s">
        <v>253</v>
      </c>
      <c r="G664" s="564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IFERROR(__xludf.DUMMYFUNCTION("IMPORTRANGE(""https://docs.google.com/spreadsheets/d/11923uPwbBZFjjGgGUA6NLw09EwE0CqkOc4q9oUmW1yo/edit?usp=sharing"",""พิจิตร!I560"")"),3)</f>
        <v>3</v>
      </c>
      <c r="J665" s="536">
        <f ca="1">IFERROR(__xludf.DUMMYFUNCTION("IMPORTRANGE(""https://docs.google.com/spreadsheets/d/11923uPwbBZFjjGgGUA6NLw09EwE0CqkOc4q9oUmW1yo/edit?usp=sharing"",""พิจิตร!J560"")"),0)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IFERROR(__xludf.DUMMYFUNCTION("IMPORTRANGE(""https://docs.google.com/spreadsheets/d/11923uPwbBZFjjGgGUA6NLw09EwE0CqkOc4q9oUmW1yo/edit?usp=sharing"",""พิจิตร!L560"")"),360)</f>
        <v>360</v>
      </c>
      <c r="M665" s="521"/>
      <c r="N665" s="538">
        <f ca="1">IFERROR(__xludf.DUMMYFUNCTION("IMPORTRANGE(""https://docs.google.com/spreadsheets/d/11923uPwbBZFjjGgGUA6NLw09EwE0CqkOc4q9oUmW1yo/edit?usp=sharing"",""พิจิตร!M560"")"),0)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IFERROR(__xludf.DUMMYFUNCTION("IMPORTRANGE(""https://docs.google.com/spreadsheets/d/11923uPwbBZFjjGgGUA6NLw09EwE0CqkOc4q9oUmW1yo/edit?usp=sharing"",""พิจิตร!J561"")"),0)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IFERROR(__xludf.DUMMYFUNCTION("IMPORTRANGE(""https://docs.google.com/spreadsheets/d/11923uPwbBZFjjGgGUA6NLw09EwE0CqkOc4q9oUmW1yo/edit?usp=sharing"",""พิจิตร!J562"")"),0)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IFERROR(__xludf.DUMMYFUNCTION("IMPORTRANGE(""https://docs.google.com/spreadsheets/d/11923uPwbBZFjjGgGUA6NLw09EwE0CqkOc4q9oUmW1yo/edit?usp=sharing"",""พิจิตร!I563"")"),1)</f>
        <v>1</v>
      </c>
      <c r="J668" s="536">
        <f ca="1">IFERROR(__xludf.DUMMYFUNCTION("IMPORTRANGE(""https://docs.google.com/spreadsheets/d/11923uPwbBZFjjGgGUA6NLw09EwE0CqkOc4q9oUmW1yo/edit?usp=sharing"",""พิจิตร!J563"")"),0)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IFERROR(__xludf.DUMMYFUNCTION("IMPORTRANGE(""https://docs.google.com/spreadsheets/d/11923uPwbBZFjjGgGUA6NLw09EwE0CqkOc4q9oUmW1yo/edit?usp=sharing"",""พิจิตร!L563"")"),1720)</f>
        <v>1720</v>
      </c>
      <c r="M668" s="521"/>
      <c r="N668" s="538">
        <f ca="1">IFERROR(__xludf.DUMMYFUNCTION("IMPORTRANGE(""https://docs.google.com/spreadsheets/d/11923uPwbBZFjjGgGUA6NLw09EwE0CqkOc4q9oUmW1yo/edit?usp=sharing"",""พิจิตร!M563"")"),0)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IFERROR(__xludf.DUMMYFUNCTION("IMPORTRANGE(""https://docs.google.com/spreadsheets/d/11923uPwbBZFjjGgGUA6NLw09EwE0CqkOc4q9oUmW1yo/edit?usp=sharing"",""พิจิตร!J564"")"),0)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IFERROR(__xludf.DUMMYFUNCTION("IMPORTRANGE(""https://docs.google.com/spreadsheets/d/11923uPwbBZFjjGgGUA6NLw09EwE0CqkOc4q9oUmW1yo/edit?usp=sharing"",""พิจิตร!J565"")"),0)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7" t="s">
        <v>256</v>
      </c>
      <c r="G671" s="564"/>
      <c r="H671" s="516" t="s">
        <v>122</v>
      </c>
      <c r="I671" s="535">
        <f ca="1">IFERROR(__xludf.DUMMYFUNCTION("IMPORTRANGE(""https://docs.google.com/spreadsheets/d/11923uPwbBZFjjGgGUA6NLw09EwE0CqkOc4q9oUmW1yo/edit?usp=sharing"",""พิจิตร!I566"")"),0)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IFERROR(__xludf.DUMMYFUNCTION("IMPORTRANGE(""https://docs.google.com/spreadsheets/d/11923uPwbBZFjjGgGUA6NLw09EwE0CqkOc4q9oUmW1yo/edit?usp=sharing"",""พิจิตร!L566"")"),0)</f>
        <v>0</v>
      </c>
      <c r="M671" s="521"/>
      <c r="N671" s="538">
        <f ca="1">IFERROR(__xludf.DUMMYFUNCTION("IMPORTRANGE(""https://docs.google.com/spreadsheets/d/11923uPwbBZFjjGgGUA6NLw09EwE0CqkOc4q9oUmW1yo/edit?usp=sharing"",""พิจิตร!M566"")"),0)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IFERROR(__xludf.DUMMYFUNCTION("IMPORTRANGE(""https://docs.google.com/spreadsheets/d/11923uPwbBZFjjGgGUA6NLw09EwE0CqkOc4q9oUmW1yo/edit?usp=sharing"",""พิจิตร!J567"")"),0)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IFERROR(__xludf.DUMMYFUNCTION("IMPORTRANGE(""https://docs.google.com/spreadsheets/d/11923uPwbBZFjjGgGUA6NLw09EwE0CqkOc4q9oUmW1yo/edit?usp=sharing"",""พิจิตร!J568"")"),0)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IFERROR(__xludf.DUMMYFUNCTION("IMPORTRANGE(""https://docs.google.com/spreadsheets/d/11923uPwbBZFjjGgGUA6NLw09EwE0CqkOc4q9oUmW1yo/edit?usp=sharing"",""พิจิตร!J569"")"),0)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IFERROR(__xludf.DUMMYFUNCTION("IMPORTRANGE(""https://docs.google.com/spreadsheets/d/11923uPwbBZFjjGgGUA6NLw09EwE0CqkOc4q9oUmW1yo/edit?usp=sharing"",""พิจิตร!J570"")"),0)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IFERROR(__xludf.DUMMYFUNCTION("IMPORTRANGE(""https://docs.google.com/spreadsheets/d/11923uPwbBZFjjGgGUA6NLw09EwE0CqkOc4q9oUmW1yo/edit?usp=sharing"",""พิจิตร!J571"")"),0)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IFERROR(__xludf.DUMMYFUNCTION("IMPORTRANGE(""https://docs.google.com/spreadsheets/d/11923uPwbBZFjjGgGUA6NLw09EwE0CqkOc4q9oUmW1yo/edit?usp=sharing"",""พิจิตร!J572"")"),0)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2022-08-04T03:51:44Z</cp:lastPrinted>
  <dcterms:modified xsi:type="dcterms:W3CDTF">2022-08-04T03:53:06Z</dcterms:modified>
</cp:coreProperties>
</file>